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24" windowWidth="20736" windowHeight="11016" activeTab="0"/>
  </bookViews>
  <sheets>
    <sheet name="Main" sheetId="1" r:id="rId1"/>
    <sheet name="Summary" sheetId="2" r:id="rId2"/>
    <sheet name="RES Appraised Value" sheetId="3" r:id="rId3"/>
    <sheet name="Depreciation" sheetId="4" r:id="rId4"/>
    <sheet name="Payback Period" sheetId="5" r:id="rId5"/>
    <sheet name="Rates kWh and kW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<sst xmlns="http://schemas.openxmlformats.org/spreadsheetml/2006/main" count="406" uniqueCount="340">
  <si>
    <t>Correction so that the Focus solar electric incentive plus the Efficiency bonus can not be more than the $50k and $75k caps</t>
  </si>
  <si>
    <t>Impact of Efficiency Bonus and Capping of Focus Incentive</t>
  </si>
  <si>
    <t>Capping based on max dollar amounts for Com and NP customers</t>
  </si>
  <si>
    <t>Governmental</t>
  </si>
  <si>
    <t xml:space="preserve">WPS </t>
  </si>
  <si>
    <t>Discounted years to cost recovery (yr)</t>
  </si>
  <si>
    <t>nominal discount rate = reak discount rate + inflation rate, note that electric price increases include inflation so the discount rate must as well</t>
  </si>
  <si>
    <t xml:space="preserve">Nominal Discount Rate </t>
  </si>
  <si>
    <t>Simple Payback Period</t>
  </si>
  <si>
    <t>Total</t>
  </si>
  <si>
    <t>Total incentives</t>
  </si>
  <si>
    <t>Year one bill savings</t>
  </si>
  <si>
    <t>First Cost</t>
  </si>
  <si>
    <t>Years</t>
  </si>
  <si>
    <t>Annual peak demand charge per kW</t>
  </si>
  <si>
    <t>* If there is a special kWh rate, once standard kWh rate is greater than special rate, customer will switch to the standard rate.</t>
  </si>
  <si>
    <t xml:space="preserve">The year the system's cumulative cash flow goes positive </t>
  </si>
  <si>
    <t>Note that the cash flow analysis includes: electric price changes, output degradation, maintenance and insurance costs, etc.</t>
  </si>
  <si>
    <t>2) Discounted years to cost recovery</t>
  </si>
  <si>
    <r>
      <t xml:space="preserve">The year the system's cumulative </t>
    </r>
    <r>
      <rPr>
        <u val="single"/>
        <sz val="11"/>
        <color indexed="56"/>
        <rFont val="Calibri"/>
        <family val="2"/>
      </rPr>
      <t>discounted</t>
    </r>
    <r>
      <rPr>
        <sz val="11"/>
        <color indexed="56"/>
        <rFont val="Calibri"/>
        <family val="2"/>
      </rPr>
      <t xml:space="preserve"> cash flow goes positive </t>
    </r>
  </si>
  <si>
    <t>3) Simple payback period</t>
  </si>
  <si>
    <t>system cost less all incentives, including depreciation benefits, divided by year one bill savings.  Includes any taxation on incentives.  Does not include: maintenance, insurance, output degradation, increased value of power production, going off a solar buy back rate after ten years, etc.</t>
  </si>
  <si>
    <t>Definition: Discounted years to cost recovery</t>
  </si>
  <si>
    <t>Definition: Simple payback period</t>
  </si>
  <si>
    <t xml:space="preserve">System cost less all incentives, including depreciation benefits, divided by year one bill savings.  </t>
  </si>
  <si>
    <t xml:space="preserve">Includes any taxation on incentives.  </t>
  </si>
  <si>
    <t>Does not include: maintenance, insurance, output degradation, increased value of power production, going off a solar buy back rate after ten years, etc.</t>
  </si>
  <si>
    <r>
      <t xml:space="preserve">The year the system's cumulative </t>
    </r>
    <r>
      <rPr>
        <u val="single"/>
        <sz val="11"/>
        <color indexed="8"/>
        <rFont val="Arial"/>
        <family val="2"/>
      </rPr>
      <t>discounted</t>
    </r>
    <r>
      <rPr>
        <sz val="11"/>
        <color indexed="8"/>
        <rFont val="Arial"/>
        <family val="2"/>
      </rPr>
      <t xml:space="preserve"> cash flow goes positive </t>
    </r>
  </si>
  <si>
    <t>Added defintions of payback period, years to cost recovery, and discounted years to cost recovery</t>
  </si>
  <si>
    <t>Cell C87 corrected to reflect new maximum cost share levels</t>
  </si>
  <si>
    <t>standard incentive</t>
  </si>
  <si>
    <t>Full Focus Incentive - including Efficiency Bonus</t>
  </si>
  <si>
    <t>Uncapped Focus EE Bonus</t>
  </si>
  <si>
    <t>There is currently no data on this, so appraisers tend not to assess any value to a solar system</t>
  </si>
  <si>
    <t>A solar electric system brings income to the owner, that income includes:</t>
  </si>
  <si>
    <t>the income resulting from a solar system.</t>
  </si>
  <si>
    <t>The income streams should be presented to the loan officer, when determining the size of the loan for which a</t>
  </si>
  <si>
    <t>Annual Income</t>
  </si>
  <si>
    <t>Discounted Annual Income</t>
  </si>
  <si>
    <t>Cumulative Income</t>
  </si>
  <si>
    <t>Discounted Cummulative Income</t>
  </si>
  <si>
    <t>Discount rate</t>
  </si>
  <si>
    <t>25 Year Discounted Net Present Value</t>
  </si>
  <si>
    <t>All assumptions are made on the "Main" spreadsheet</t>
  </si>
  <si>
    <t>Prospective solar system owners have difficulties getting their solar electric system appraised.</t>
  </si>
  <si>
    <t>Appraised value depends on how the local real estate market values the solar system.</t>
  </si>
  <si>
    <t>solar property owner is eligible.</t>
  </si>
  <si>
    <t>Until the assessor community has the market data needed to value solar equipment, I recommend that solar owners analyze</t>
  </si>
  <si>
    <t>WPS Stipulation Program Non Profit Incentive</t>
  </si>
  <si>
    <t>WPS Large System &gt;50 kW production based incentive</t>
  </si>
  <si>
    <t>WPS Large System Incentive</t>
  </si>
  <si>
    <t>Non P</t>
  </si>
  <si>
    <t>Tax Payers</t>
  </si>
  <si>
    <t>WPS Non Profit Grant</t>
  </si>
  <si>
    <t>WPS Large Project Grant</t>
  </si>
  <si>
    <t xml:space="preserve">WPS Non Profit Grant </t>
  </si>
  <si>
    <t>Value of all first cost incentives after taxes</t>
  </si>
  <si>
    <t>Focus on Energy Incentive</t>
  </si>
  <si>
    <t>Focus and WPS Incentive Income Tax Payment</t>
  </si>
  <si>
    <t>Business Tax on Focus and WPS Grants</t>
  </si>
  <si>
    <r>
      <rPr>
        <b/>
        <sz val="10"/>
        <rFont val="Arial"/>
        <family val="2"/>
      </rPr>
      <t>We Energies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</si>
  <si>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Alliant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</si>
  <si>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WPS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</si>
  <si>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USDA</t>
    </r>
    <r>
      <rPr>
        <sz val="10"/>
        <rFont val="Arial"/>
        <family val="0"/>
      </rPr>
      <t xml:space="preserve"> REAP grant or other Federal grant amount</t>
    </r>
  </si>
  <si>
    <r>
      <rPr>
        <b/>
        <sz val="10"/>
        <rFont val="Arial"/>
        <family val="2"/>
      </rPr>
      <t>other non federa</t>
    </r>
    <r>
      <rPr>
        <sz val="10"/>
        <rFont val="Arial"/>
        <family val="0"/>
      </rPr>
      <t>l grants</t>
    </r>
  </si>
  <si>
    <t>Residential Solar Electric System Income Stream</t>
  </si>
  <si>
    <t>Valuing Residential Solar Electric Systems</t>
  </si>
  <si>
    <t>2. First cost incentives such as the Focus on Energy Cash Back Reward</t>
  </si>
  <si>
    <t>Estimated, shade compensated system annual output</t>
  </si>
  <si>
    <t>Any additional shading not previously factored for</t>
  </si>
  <si>
    <t>Customer eligible for Focus' Energy Efficiency Bonus</t>
  </si>
  <si>
    <t>Focus Incentives</t>
  </si>
  <si>
    <t>Qualifies for WPS's Non Profit Grant?</t>
  </si>
  <si>
    <t>Discounted years to cost recovery</t>
  </si>
  <si>
    <t>Years to cost recovery (yr)</t>
  </si>
  <si>
    <t xml:space="preserve">Energy bill savings result in higher business profits which in turn increase taxes </t>
  </si>
  <si>
    <t>USDA and other grants</t>
  </si>
  <si>
    <t>COMMERCIAL SYSTEMS</t>
  </si>
  <si>
    <t>RESIDENTIAL SYSTEMS</t>
  </si>
  <si>
    <t>Solar electric buyback rate</t>
  </si>
  <si>
    <t>Enter Inputs in Yellow Shaded Cells</t>
  </si>
  <si>
    <t>by: Mark Daugherty of Focus on Energy with updates by Niels Wolter of Focus on Energy</t>
  </si>
  <si>
    <t>System cost after all incentives</t>
  </si>
  <si>
    <t>and Green Cells</t>
  </si>
  <si>
    <t xml:space="preserve">Meter </t>
  </si>
  <si>
    <t>Utility meter charge (one time)</t>
  </si>
  <si>
    <t>Utility monthly customer charge</t>
  </si>
  <si>
    <t>Will the site participate in a solar buyback rate</t>
  </si>
  <si>
    <t>Solar buyback rate utility meter charge</t>
  </si>
  <si>
    <t>Installation</t>
  </si>
  <si>
    <t>$300 - $900*</t>
  </si>
  <si>
    <t>Federal Tax Credit or Treasury Payment</t>
  </si>
  <si>
    <t>5B = five year depreciation with a 50% year one bonus</t>
  </si>
  <si>
    <t>Is System Small, Medium or Large?</t>
  </si>
  <si>
    <t>M</t>
  </si>
  <si>
    <t>dollar limit</t>
  </si>
  <si>
    <t>Federal Tax Credit</t>
  </si>
  <si>
    <t>commercial</t>
  </si>
  <si>
    <t>customer type</t>
  </si>
  <si>
    <t>based on Wrenches discussion</t>
  </si>
  <si>
    <t>Annual maintenance cost</t>
  </si>
  <si>
    <t>Source: Andy Black, NorCal Solar Energy Resource Guide, September 2006 (0.25% of gross system cost per year)</t>
  </si>
  <si>
    <t>of gross system cost</t>
  </si>
  <si>
    <t>Maintenance and Insurance Costs</t>
  </si>
  <si>
    <t>Annual insurance cost</t>
  </si>
  <si>
    <t>Maintenance and Insuranace Cost</t>
  </si>
  <si>
    <t>Estimated rate of maintenance and insurance cost increase</t>
  </si>
  <si>
    <t>per year</t>
  </si>
  <si>
    <t xml:space="preserve">Update Summary: </t>
  </si>
  <si>
    <t>* Financing incentives are not modeled (e.g., Alliant's financing option)</t>
  </si>
  <si>
    <t>Alliant defines a Non Profit as: "federal income tax exempt corporations, community chests, foundations or trusts registered as 501(c)(3) organizations</t>
  </si>
  <si>
    <t>Alliant first cost incentive</t>
  </si>
  <si>
    <t xml:space="preserve"> calculated</t>
  </si>
  <si>
    <t>max allowed</t>
  </si>
  <si>
    <t>incentive</t>
  </si>
  <si>
    <t>Alliant grant</t>
  </si>
  <si>
    <t>Alliant Incentive</t>
  </si>
  <si>
    <t>Alliant Non Profit, Govt and School Grant</t>
  </si>
  <si>
    <t>varies</t>
  </si>
  <si>
    <t>?</t>
  </si>
  <si>
    <t>14 WPPI members</t>
  </si>
  <si>
    <t>FULL</t>
  </si>
  <si>
    <r>
      <t xml:space="preserve">MGE $0.25/kWh. </t>
    </r>
    <r>
      <rPr>
        <u val="single"/>
        <sz val="10"/>
        <rFont val="Arial"/>
        <family val="2"/>
      </rPr>
      <t>Does not incude additional cost of green power purchase.</t>
    </r>
  </si>
  <si>
    <t>MGE 10 kW</t>
  </si>
  <si>
    <t>MGE $0/month</t>
  </si>
  <si>
    <t>MGE $0</t>
  </si>
  <si>
    <t xml:space="preserve">WE Non Profit Grant </t>
  </si>
  <si>
    <t>3. Tax Credits</t>
  </si>
  <si>
    <t>1. Usage (kWh) and Demand (kW) bill reduction or Solar Buy Back Rate income</t>
  </si>
  <si>
    <t>2.216 lbs/ kWh  - source: http://www.doa.state.wi.us/docview.asp?docid=2404</t>
  </si>
  <si>
    <t>other non federal grants</t>
  </si>
  <si>
    <t>USDA and other federal incentives</t>
  </si>
  <si>
    <t>Focus on Enegy Incentives</t>
  </si>
  <si>
    <t>Customer eligible for Focus on Energy Incentives</t>
  </si>
  <si>
    <t>State &amp; Federal taxes due to reduced kWh costs</t>
  </si>
  <si>
    <t>State &amp; Federal taxes due to reduced kW costs</t>
  </si>
  <si>
    <t>Y</t>
  </si>
  <si>
    <t>1 = 100% year one depreciation, using section 176 depreciation, limited to $250,000 in 2008</t>
  </si>
  <si>
    <t>5 = standard five year accelerated depreciation</t>
  </si>
  <si>
    <t>Net buy back electricity rate ($/kWh)</t>
  </si>
  <si>
    <t>kW dc</t>
  </si>
  <si>
    <t>Total Inverter(s) AC rating</t>
  </si>
  <si>
    <t xml:space="preserve">Enter "1" or "5" </t>
  </si>
  <si>
    <t>Tax Credit</t>
  </si>
  <si>
    <t>Basis for</t>
  </si>
  <si>
    <t>Depreciation, commercial businesses only</t>
  </si>
  <si>
    <t>Enter effective federal tax rate for tax paying firms</t>
  </si>
  <si>
    <t>Enter effective WI tax rate for tax paying firms: typically 7.9%.</t>
  </si>
  <si>
    <t>Tax treatment of bill savings for businesses</t>
  </si>
  <si>
    <t>that reduce basis for business federal tax credits and depreciation</t>
  </si>
  <si>
    <t>that do not reduce basis for business federal tax credits or depreciation</t>
  </si>
  <si>
    <t>Business Tax Information (ignore for all other system owners)</t>
  </si>
  <si>
    <r>
      <t> </t>
    </r>
    <r>
      <rPr>
        <sz val="9"/>
        <color indexed="8"/>
        <rFont val="Times New Roman"/>
        <family val="1"/>
      </rPr>
      <t xml:space="preserve"> </t>
    </r>
  </si>
  <si>
    <r>
      <t>System Size (kW)</t>
    </r>
    <r>
      <rPr>
        <sz val="9"/>
        <color indexed="8"/>
        <rFont val="Times New Roman"/>
        <family val="1"/>
      </rPr>
      <t xml:space="preserve"> </t>
    </r>
  </si>
  <si>
    <r>
      <t>Eligible Systems</t>
    </r>
    <r>
      <rPr>
        <sz val="9"/>
        <color indexed="8"/>
        <rFont val="Times New Roman"/>
        <family val="1"/>
      </rPr>
      <t xml:space="preserve"> </t>
    </r>
  </si>
  <si>
    <r>
      <t>Utility</t>
    </r>
    <r>
      <rPr>
        <sz val="9"/>
        <color indexed="8"/>
        <rFont val="Times New Roman"/>
        <family val="1"/>
      </rPr>
      <t xml:space="preserve"> </t>
    </r>
  </si>
  <si>
    <r>
      <t>Cents/kWh</t>
    </r>
    <r>
      <rPr>
        <sz val="9"/>
        <color indexed="8"/>
        <rFont val="Times New Roman"/>
        <family val="1"/>
      </rPr>
      <t xml:space="preserve"> </t>
    </r>
  </si>
  <si>
    <r>
      <t>Total KW</t>
    </r>
    <r>
      <rPr>
        <sz val="9"/>
        <color indexed="8"/>
        <rFont val="Times New Roman"/>
        <family val="1"/>
      </rPr>
      <t xml:space="preserve"> </t>
    </r>
  </si>
  <si>
    <r>
      <t>Min</t>
    </r>
    <r>
      <rPr>
        <sz val="9"/>
        <color indexed="8"/>
        <rFont val="Times New Roman"/>
        <family val="1"/>
      </rPr>
      <t xml:space="preserve"> </t>
    </r>
  </si>
  <si>
    <r>
      <t>Max</t>
    </r>
    <r>
      <rPr>
        <sz val="9"/>
        <color indexed="8"/>
        <rFont val="Times New Roman"/>
        <family val="1"/>
      </rPr>
      <t xml:space="preserve"> </t>
    </r>
  </si>
  <si>
    <r>
      <t>Installed After</t>
    </r>
    <r>
      <rPr>
        <sz val="9"/>
        <color indexed="8"/>
        <rFont val="Times New Roman"/>
        <family val="1"/>
      </rPr>
      <t xml:space="preserve"> </t>
    </r>
  </si>
  <si>
    <r>
      <t>Status</t>
    </r>
    <r>
      <rPr>
        <sz val="9"/>
        <color indexed="8"/>
        <rFont val="Times New Roman"/>
        <family val="1"/>
      </rPr>
      <t xml:space="preserve"> </t>
    </r>
  </si>
  <si>
    <r>
      <t>MGE</t>
    </r>
    <r>
      <rPr>
        <sz val="9"/>
        <color indexed="8"/>
        <rFont val="Times New Roman"/>
        <family val="1"/>
      </rPr>
      <t xml:space="preserve"> </t>
    </r>
  </si>
  <si>
    <r>
      <t>Alliant</t>
    </r>
    <r>
      <rPr>
        <sz val="9"/>
        <color indexed="8"/>
        <rFont val="Times New Roman"/>
        <family val="1"/>
      </rPr>
      <t xml:space="preserve"> </t>
    </r>
  </si>
  <si>
    <r>
      <t>WPS</t>
    </r>
    <r>
      <rPr>
        <sz val="9"/>
        <color indexed="8"/>
        <rFont val="Times New Roman"/>
        <family val="1"/>
      </rPr>
      <t xml:space="preserve"> </t>
    </r>
  </si>
  <si>
    <t>filling</t>
  </si>
  <si>
    <t>Maximum system size (DC module kW)</t>
  </si>
  <si>
    <t>Does System Qualify?</t>
  </si>
  <si>
    <t>Incentive level</t>
  </si>
  <si>
    <t>Incentive payment</t>
  </si>
  <si>
    <t>WE Non Profit Grant Amount</t>
  </si>
  <si>
    <t>WE Non Profit Grant</t>
  </si>
  <si>
    <t>USDA and other federal grants that reduce tax basis</t>
  </si>
  <si>
    <t>Grants that do not reduce tax basis</t>
  </si>
  <si>
    <t>Qualifies for WE's Non Profit Grant?</t>
  </si>
  <si>
    <t>Grant amount</t>
  </si>
  <si>
    <t>Should business taxes on increased profits be ignored?</t>
  </si>
  <si>
    <t>Solar buyback rate customer charge</t>
  </si>
  <si>
    <t>Minimum System Size (kW)</t>
  </si>
  <si>
    <t>Maximum System Size(kW)</t>
  </si>
  <si>
    <t>Monthly</t>
  </si>
  <si>
    <t>Customer</t>
  </si>
  <si>
    <t>Charge</t>
  </si>
  <si>
    <t>average WI COM electric rates 2000 to 2008 is 5.95% per year and RES rates 5.75% per year, data from EIA</t>
  </si>
  <si>
    <t>These cash flows are discounted or adjusted by incorporating the time value of money.</t>
  </si>
  <si>
    <t xml:space="preserve">IRR is an alternative method of evaluating investments without estimating the discount rate. </t>
  </si>
  <si>
    <t xml:space="preserve">IRR takes into account the time value of money by considering the cash flows over the lifetime of a project. </t>
  </si>
  <si>
    <t>IRR is the discount rate that makes the project have a zero Net Present Value (NPV).</t>
  </si>
  <si>
    <t xml:space="preserve">NPV is the sum of the present values of the annual cash flows minus the initial investment. </t>
  </si>
  <si>
    <t>IRR or Internal Rate of Return</t>
  </si>
  <si>
    <t>If IRR  has #NUM! or "#DIV/0!"error, then xcel is unable to determine the IRR</t>
  </si>
  <si>
    <t>System Cost after all incentives</t>
  </si>
  <si>
    <t>Solar electric systems rated module capacity (kW dc)</t>
  </si>
  <si>
    <t>Cost</t>
  </si>
  <si>
    <t>Economics</t>
  </si>
  <si>
    <t>Environment</t>
  </si>
  <si>
    <t>Production</t>
  </si>
  <si>
    <t xml:space="preserve"> Energy Production, Cost, Economics and Environment</t>
  </si>
  <si>
    <t>Value of year 1 to year 10 power production</t>
  </si>
  <si>
    <t>calculated</t>
  </si>
  <si>
    <t>maximum</t>
  </si>
  <si>
    <t>minimum</t>
  </si>
  <si>
    <t>WE NP grant calcs</t>
  </si>
  <si>
    <t>AC rating</t>
  </si>
  <si>
    <t>kW ac</t>
  </si>
  <si>
    <t>buyback rate if available</t>
  </si>
  <si>
    <t>Standard Electric Rate ($/kWh)</t>
  </si>
  <si>
    <t>Monthly demand rate ($/kW)</t>
  </si>
  <si>
    <t>Discount rate (used only in NPV)</t>
  </si>
  <si>
    <t>Monthly demand rate start ($/kW)</t>
  </si>
  <si>
    <t>from bill or tariff sheet</t>
  </si>
  <si>
    <t>May need to estimate based on off and on peak rates, and summer and winter rates and when the system will be generating power</t>
  </si>
  <si>
    <t>Years to cost recovery</t>
  </si>
  <si>
    <t>"0" Means greater than 30 years</t>
  </si>
  <si>
    <t>Years to cost recovery, "0" Means &gt; 30 years</t>
  </si>
  <si>
    <t>Eligible for buyback rate</t>
  </si>
  <si>
    <t>mixed standard kWh and buyback rate</t>
  </si>
  <si>
    <t>Kwh rate used in analysis</t>
  </si>
  <si>
    <t>share of system kWac on the solar buyback rate</t>
  </si>
  <si>
    <t>Monthly demand benefit ($/month)</t>
  </si>
  <si>
    <t>Annual demand rate used ($/month)</t>
  </si>
  <si>
    <t>Site</t>
  </si>
  <si>
    <t>Utility</t>
  </si>
  <si>
    <t>Rate</t>
  </si>
  <si>
    <t>2008 - 50% year one Bonus Depreciation, due to expire Jan 1 2009</t>
  </si>
  <si>
    <t>Section 176</t>
  </si>
  <si>
    <t>5 year with 50% year one bonus</t>
  </si>
  <si>
    <t>5B</t>
  </si>
  <si>
    <t>Depreciation schedule for solar equipment</t>
  </si>
  <si>
    <t>slected depreciation schedule</t>
  </si>
  <si>
    <t>30 Year IRR</t>
  </si>
  <si>
    <t>30 Year discounted NPV</t>
  </si>
  <si>
    <t>Lbs of CO2 emitted/conventional kWh used</t>
  </si>
  <si>
    <t>CO2 emission reduction per year (tons/year)</t>
  </si>
  <si>
    <t>Electricity rate year one ($/kWh)</t>
  </si>
  <si>
    <t>25 Year IRR</t>
  </si>
  <si>
    <t>C</t>
  </si>
  <si>
    <t>kWh Savings</t>
  </si>
  <si>
    <t>Demand Savings</t>
  </si>
  <si>
    <t>System Cost After Focus Incentive</t>
  </si>
  <si>
    <t>Estimated installed cost</t>
  </si>
  <si>
    <t>Cost of System Per kW (dc)</t>
  </si>
  <si>
    <t>SITE ASSESSORS ECONOMIC ANALYSIS SPREADSHEET</t>
  </si>
  <si>
    <t>updated:</t>
  </si>
  <si>
    <t>used to determine system's kW ac rating</t>
  </si>
  <si>
    <t>C = Commercial or Residential, N = Non-Profit or Local Government</t>
  </si>
  <si>
    <r>
      <t xml:space="preserve">What is the system's ownership (in </t>
    </r>
    <r>
      <rPr>
        <b/>
        <sz val="10"/>
        <rFont val="Arial"/>
        <family val="2"/>
      </rPr>
      <t>CAPS</t>
    </r>
    <r>
      <rPr>
        <sz val="10"/>
        <rFont val="Arial"/>
        <family val="0"/>
      </rPr>
      <t xml:space="preserve">)? </t>
    </r>
  </si>
  <si>
    <r>
      <t xml:space="preserve">Is it a residential system (in </t>
    </r>
    <r>
      <rPr>
        <b/>
        <sz val="10"/>
        <rFont val="Arial"/>
        <family val="2"/>
      </rPr>
      <t>CAPS</t>
    </r>
    <r>
      <rPr>
        <sz val="10"/>
        <rFont val="Arial"/>
        <family val="0"/>
      </rPr>
      <t>)?</t>
    </r>
  </si>
  <si>
    <t>Ownership</t>
  </si>
  <si>
    <t>Size and Output</t>
  </si>
  <si>
    <t>Utility First Cost Incentives</t>
  </si>
  <si>
    <t>Site's Electric Rate</t>
  </si>
  <si>
    <t>Economic</t>
  </si>
  <si>
    <t>Technical</t>
  </si>
  <si>
    <t>Calculations</t>
  </si>
  <si>
    <t>Proper legal counsel, along with financial and tax guidance, is required to</t>
  </si>
  <si>
    <t>definitively determine the financial ramification of installing a solar electric system.</t>
  </si>
  <si>
    <t xml:space="preserve">Disclaimer:  The information provided in this spreadsheet should NOT be considered legal, financial or engineering advice.  </t>
  </si>
  <si>
    <t>share of system's kWac available on average at annual peak</t>
  </si>
  <si>
    <t>share of system's kWac available on average at monthly peak</t>
  </si>
  <si>
    <t>Estimated demand cost Inflation Rate (%/yr)</t>
  </si>
  <si>
    <t>Estimated electricity price inflation rate (%/yr)</t>
  </si>
  <si>
    <t>Solar Systems are considered 5-year property for depreciation purposes</t>
  </si>
  <si>
    <t xml:space="preserve"> Federal Income Tax Rate</t>
  </si>
  <si>
    <t xml:space="preserve"> State Income Tax Rate</t>
  </si>
  <si>
    <r>
      <t>Does System Qualify for Federal Tax Credit</t>
    </r>
    <r>
      <rPr>
        <sz val="10"/>
        <rFont val="Arial"/>
        <family val="0"/>
      </rPr>
      <t>?</t>
    </r>
  </si>
  <si>
    <t>Does System Qualify for Accelerated Depreciation</t>
  </si>
  <si>
    <t>kWh per kW dc</t>
  </si>
  <si>
    <t>per kW dc</t>
  </si>
  <si>
    <t>Estimated cost</t>
  </si>
  <si>
    <t>percent of annual production</t>
  </si>
  <si>
    <t>Solar Electric Buy Back Rate</t>
  </si>
  <si>
    <t xml:space="preserve">Project </t>
  </si>
  <si>
    <t>Dollar Limit</t>
  </si>
  <si>
    <t>Other First Cost Incentives</t>
  </si>
  <si>
    <t>Other first cost incentives</t>
  </si>
  <si>
    <t>Definitions</t>
  </si>
  <si>
    <t>NPV or Net Present Value</t>
  </si>
  <si>
    <t>10 year discounted NPV</t>
  </si>
  <si>
    <t>25 Year discounted NPV</t>
  </si>
  <si>
    <t xml:space="preserve">The annual cash flows are the Net Benefits (revenues minus costs) generated from the investment during its lifetime. </t>
  </si>
  <si>
    <t>Federal Tax Credit (%)</t>
  </si>
  <si>
    <t>Year</t>
  </si>
  <si>
    <t>Fed Tax Credit</t>
  </si>
  <si>
    <t>Basis for Federal Depreciation</t>
  </si>
  <si>
    <t>System Cash Flows</t>
  </si>
  <si>
    <t>Cumulative Cash Flow</t>
  </si>
  <si>
    <t>System Cost</t>
  </si>
  <si>
    <t>Full</t>
  </si>
  <si>
    <t>Incentive</t>
  </si>
  <si>
    <t>Limit</t>
  </si>
  <si>
    <t>Depreciation schedules from Table A of IRS form 4562</t>
  </si>
  <si>
    <t>5 year schedule</t>
  </si>
  <si>
    <t>7 year schedule</t>
  </si>
  <si>
    <t>check</t>
  </si>
  <si>
    <t>Fed and State Depreciation Value</t>
  </si>
  <si>
    <t>Annual Cash Flow</t>
  </si>
  <si>
    <t>System Description</t>
  </si>
  <si>
    <t>Wisconsin Focus on Energy Incentive</t>
  </si>
  <si>
    <t>Reward Factor ($/kWh/yr)</t>
  </si>
  <si>
    <t>Maximum Focus Incentive (%)</t>
  </si>
  <si>
    <t xml:space="preserve">Percent </t>
  </si>
  <si>
    <t>Maximum System Size for Focus (kW)</t>
  </si>
  <si>
    <t>System Size</t>
  </si>
  <si>
    <t>Minimum System Size for Focus (kW)</t>
  </si>
  <si>
    <t>1 if qualified, 0 if not qualified</t>
  </si>
  <si>
    <t>S</t>
  </si>
  <si>
    <t>L</t>
  </si>
  <si>
    <t>10 Year IRR</t>
  </si>
  <si>
    <t>Return &amp; Cost</t>
  </si>
  <si>
    <t>N</t>
  </si>
  <si>
    <t>comments</t>
  </si>
  <si>
    <t>Do not change any other cells</t>
  </si>
  <si>
    <t>Electric rate start ($/kWh)</t>
  </si>
  <si>
    <t>Annual rate of increase</t>
  </si>
  <si>
    <t>year</t>
  </si>
  <si>
    <t>Enter "Y" for Yes or "N" for No</t>
  </si>
  <si>
    <t>Assumptions</t>
  </si>
  <si>
    <t xml:space="preserve">* Focus on Energy Incentive is treated as taxable income for commercial systems. </t>
  </si>
  <si>
    <t>Monthly peak demand charge per kW</t>
  </si>
  <si>
    <t>kW rates over time</t>
  </si>
  <si>
    <t>kWh rates over time</t>
  </si>
  <si>
    <t>Annual demand rate start</t>
  </si>
  <si>
    <t>Annual demand rate</t>
  </si>
  <si>
    <t>Estimated average annual peak demand reduction</t>
  </si>
  <si>
    <t>Estimated average monthly peak demand reduction</t>
  </si>
  <si>
    <t>kWh production overtime - includes photodegredation of panels</t>
  </si>
  <si>
    <t>Expected output degradation (%/year)</t>
  </si>
  <si>
    <t>System cost after first cost incentives</t>
  </si>
  <si>
    <t>Value of 5-year accelerated depreciation</t>
  </si>
  <si>
    <t>Solar Electric System: Economic Analysis Summary</t>
  </si>
  <si>
    <t>Key Assumptions</t>
  </si>
  <si>
    <t xml:space="preserve">Disclaimer:  The information provided in this spreadsheet should NOT be considered legal advice.  </t>
  </si>
  <si>
    <t>definitively determine the tax ramification of installing a solar electric system.</t>
  </si>
  <si>
    <t>Proper legal counsel, along with IRS guidance, is required to</t>
  </si>
  <si>
    <t>Discounted Annual Cash Flow</t>
  </si>
  <si>
    <t>Discounted Cummulative Cash Flow</t>
  </si>
  <si>
    <t>Expected dc to ac derate factor</t>
  </si>
  <si>
    <t xml:space="preserve"> Estimated output year one (kWh/yr)</t>
  </si>
  <si>
    <t>Carbon Dioxide Emission Reductions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</si>
</sst>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0.0"/>
    <numFmt numFmtId="169" formatCode="_(&quot;$&quot;* #,##0.000_);_(&quot;$&quot;* \(#,##0.000\);_(&quot;$&quot;* &quot;-&quot;??_);_(@_)"/>
    <numFmt numFmtId="170" formatCode="#,##0.0_);\(#,##0.0\)"/>
    <numFmt numFmtId="171" formatCode="_(&quot;$&quot;* #,##0.0000_);_(&quot;$&quot;* \(#,##0.0000\);_(&quot;$&quot;* &quot;-&quot;??_);_(@_)"/>
    <numFmt numFmtId="172" formatCode="0.000%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_(* #,##0.0_);_(* \(#,##0.0\);_(* &quot;-&quot;?_);_(@_)"/>
    <numFmt numFmtId="186" formatCode="_(* #,##0.000_);_(* \(#,##0.000\);_(* &quot;-&quot;???_);_(@_)"/>
    <numFmt numFmtId="187" formatCode="_(&quot;$&quot;* #,##0.0_);_(&quot;$&quot;* \(#,##0.0\);_(&quot;$&quot;* &quot;-&quot;?_);_(@_)"/>
    <numFmt numFmtId="188" formatCode="_(\$* #,##0_);_(\$* \(#,##0\);_(\$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56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.25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6"/>
      <color indexed="8"/>
      <name val="Arial"/>
      <family val="0"/>
    </font>
    <font>
      <b/>
      <sz val="1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24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0" fontId="52" fillId="28" borderId="0" applyNumberFormat="0" applyBorder="0" applyAlignment="0" applyProtection="0"/>
    <xf numFmtId="0" fontId="0" fillId="29" borderId="7" applyNumberFormat="0" applyFont="0" applyAlignment="0" applyProtection="0"/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Font="1" applyBorder="1" applyAlignment="1">
      <alignment/>
    </xf>
    <xf numFmtId="0" fontId="0" fillId="0" borderId="0" xfId="0" applyAlignment="1">
      <alignment horizontal="center"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44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165" fontId="0" fillId="0" borderId="0" xfId="44" applyNumberFormat="1" applyFont="1" applyBorder="1" applyAlignment="1">
      <alignment/>
    </xf>
    <xf numFmtId="9" fontId="0" fillId="0" borderId="0" xfId="59" applyFont="1" applyFill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center"/>
    </xf>
    <xf numFmtId="166" fontId="0" fillId="0" borderId="0" xfId="59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44" fontId="0" fillId="0" borderId="0" xfId="0" applyNumberFormat="1" applyAlignment="1">
      <alignment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9" fontId="0" fillId="0" borderId="0" xfId="59" applyFont="1" applyBorder="1" applyAlignment="1">
      <alignment/>
    </xf>
    <xf numFmtId="179" fontId="0" fillId="0" borderId="0" xfId="42" applyNumberFormat="1" applyFont="1" applyAlignment="1">
      <alignment/>
    </xf>
    <xf numFmtId="9" fontId="7" fillId="0" borderId="11" xfId="59" applyFont="1" applyBorder="1" applyAlignment="1">
      <alignment horizontal="center"/>
    </xf>
    <xf numFmtId="166" fontId="7" fillId="0" borderId="11" xfId="59" applyNumberFormat="1" applyFont="1" applyBorder="1" applyAlignment="1">
      <alignment horizontal="center"/>
    </xf>
    <xf numFmtId="10" fontId="7" fillId="0" borderId="11" xfId="59" applyNumberFormat="1" applyFont="1" applyBorder="1" applyAlignment="1">
      <alignment horizontal="center"/>
    </xf>
    <xf numFmtId="166" fontId="7" fillId="0" borderId="12" xfId="59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65" fontId="0" fillId="0" borderId="0" xfId="44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5" fontId="0" fillId="30" borderId="0" xfId="44" applyNumberFormat="1" applyFont="1" applyFill="1" applyAlignment="1">
      <alignment horizontal="center"/>
    </xf>
    <xf numFmtId="37" fontId="0" fillId="0" borderId="0" xfId="44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0" fillId="30" borderId="0" xfId="59" applyNumberFormat="1" applyFont="1" applyFill="1" applyBorder="1" applyAlignment="1">
      <alignment horizontal="center"/>
    </xf>
    <xf numFmtId="9" fontId="0" fillId="30" borderId="0" xfId="59" applyNumberFormat="1" applyFont="1" applyFill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44" fontId="0" fillId="30" borderId="0" xfId="44" applyFont="1" applyFill="1" applyAlignment="1">
      <alignment horizontal="center"/>
    </xf>
    <xf numFmtId="10" fontId="0" fillId="30" borderId="0" xfId="0" applyNumberFormat="1" applyFill="1" applyBorder="1" applyAlignment="1">
      <alignment horizontal="center"/>
    </xf>
    <xf numFmtId="2" fontId="0" fillId="3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166" fontId="0" fillId="0" borderId="0" xfId="5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9" fontId="0" fillId="30" borderId="0" xfId="59" applyFont="1" applyFill="1" applyAlignment="1">
      <alignment horizontal="center"/>
    </xf>
    <xf numFmtId="37" fontId="0" fillId="0" borderId="10" xfId="44" applyNumberFormat="1" applyFont="1" applyFill="1" applyBorder="1" applyAlignment="1">
      <alignment horizontal="center"/>
    </xf>
    <xf numFmtId="170" fontId="0" fillId="30" borderId="0" xfId="44" applyNumberFormat="1" applyFont="1" applyFill="1" applyAlignment="1">
      <alignment horizontal="center"/>
    </xf>
    <xf numFmtId="179" fontId="0" fillId="30" borderId="0" xfId="42" applyNumberFormat="1" applyFont="1" applyFill="1" applyAlignment="1">
      <alignment horizontal="center"/>
    </xf>
    <xf numFmtId="43" fontId="0" fillId="30" borderId="0" xfId="42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9" fontId="0" fillId="30" borderId="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65" fontId="0" fillId="0" borderId="17" xfId="44" applyNumberFormat="1" applyFont="1" applyBorder="1" applyAlignment="1">
      <alignment/>
    </xf>
    <xf numFmtId="165" fontId="0" fillId="0" borderId="18" xfId="44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8" fontId="7" fillId="0" borderId="11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165" fontId="0" fillId="0" borderId="15" xfId="0" applyNumberFormat="1" applyBorder="1" applyAlignment="1">
      <alignment/>
    </xf>
    <xf numFmtId="165" fontId="0" fillId="0" borderId="19" xfId="44" applyNumberFormat="1" applyFont="1" applyBorder="1" applyAlignment="1">
      <alignment/>
    </xf>
    <xf numFmtId="165" fontId="0" fillId="0" borderId="17" xfId="44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Alignment="1">
      <alignment horizontal="right"/>
    </xf>
    <xf numFmtId="0" fontId="0" fillId="30" borderId="0" xfId="0" applyFont="1" applyFill="1" applyBorder="1" applyAlignment="1">
      <alignment horizontal="center"/>
    </xf>
    <xf numFmtId="43" fontId="0" fillId="0" borderId="0" xfId="42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9" fontId="0" fillId="30" borderId="0" xfId="5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0" fontId="11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5" fontId="0" fillId="30" borderId="0" xfId="44" applyNumberFormat="1" applyFont="1" applyFill="1" applyAlignment="1">
      <alignment/>
    </xf>
    <xf numFmtId="0" fontId="0" fillId="0" borderId="0" xfId="0" applyBorder="1" applyAlignment="1">
      <alignment horizontal="left"/>
    </xf>
    <xf numFmtId="44" fontId="0" fillId="3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21" xfId="0" applyFont="1" applyBorder="1" applyAlignment="1">
      <alignment horizontal="left"/>
    </xf>
    <xf numFmtId="0" fontId="0" fillId="30" borderId="0" xfId="0" applyFont="1" applyFill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0" xfId="44" applyNumberFormat="1" applyFont="1" applyFill="1" applyAlignment="1">
      <alignment horizontal="center"/>
    </xf>
    <xf numFmtId="165" fontId="0" fillId="0" borderId="0" xfId="44" applyNumberFormat="1" applyFont="1" applyAlignment="1" quotePrefix="1">
      <alignment/>
    </xf>
    <xf numFmtId="0" fontId="0" fillId="0" borderId="0" xfId="0" applyFont="1" applyFill="1" applyAlignment="1" quotePrefix="1">
      <alignment horizontal="center"/>
    </xf>
    <xf numFmtId="0" fontId="0" fillId="0" borderId="0" xfId="0" applyFont="1" applyBorder="1" applyAlignment="1">
      <alignment horizontal="left"/>
    </xf>
    <xf numFmtId="44" fontId="0" fillId="30" borderId="0" xfId="44" applyFont="1" applyFill="1" applyBorder="1" applyAlignment="1">
      <alignment horizontal="center"/>
    </xf>
    <xf numFmtId="165" fontId="0" fillId="30" borderId="0" xfId="0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 wrapText="1"/>
    </xf>
    <xf numFmtId="0" fontId="13" fillId="31" borderId="10" xfId="0" applyFont="1" applyFill="1" applyBorder="1" applyAlignment="1">
      <alignment horizontal="center" wrapText="1"/>
    </xf>
    <xf numFmtId="0" fontId="13" fillId="31" borderId="25" xfId="0" applyFont="1" applyFill="1" applyBorder="1" applyAlignment="1">
      <alignment horizontal="center" wrapText="1"/>
    </xf>
    <xf numFmtId="0" fontId="13" fillId="31" borderId="26" xfId="0" applyFont="1" applyFill="1" applyBorder="1" applyAlignment="1">
      <alignment horizontal="left" wrapText="1"/>
    </xf>
    <xf numFmtId="0" fontId="13" fillId="31" borderId="27" xfId="0" applyFont="1" applyFill="1" applyBorder="1" applyAlignment="1">
      <alignment horizontal="left" wrapText="1"/>
    </xf>
    <xf numFmtId="0" fontId="13" fillId="31" borderId="28" xfId="0" applyFont="1" applyFill="1" applyBorder="1" applyAlignment="1">
      <alignment horizontal="left" wrapText="1"/>
    </xf>
    <xf numFmtId="0" fontId="13" fillId="12" borderId="27" xfId="0" applyFont="1" applyFill="1" applyBorder="1" applyAlignment="1">
      <alignment horizontal="left" wrapText="1"/>
    </xf>
    <xf numFmtId="0" fontId="13" fillId="31" borderId="28" xfId="0" applyFont="1" applyFill="1" applyBorder="1" applyAlignment="1">
      <alignment horizontal="center" wrapText="1"/>
    </xf>
    <xf numFmtId="0" fontId="13" fillId="31" borderId="26" xfId="0" applyFont="1" applyFill="1" applyBorder="1" applyAlignment="1">
      <alignment horizontal="center" wrapText="1"/>
    </xf>
    <xf numFmtId="0" fontId="13" fillId="12" borderId="27" xfId="0" applyFont="1" applyFill="1" applyBorder="1" applyAlignment="1">
      <alignment horizontal="center" wrapText="1"/>
    </xf>
    <xf numFmtId="14" fontId="13" fillId="31" borderId="26" xfId="0" applyNumberFormat="1" applyFont="1" applyFill="1" applyBorder="1" applyAlignment="1">
      <alignment horizontal="left" wrapText="1"/>
    </xf>
    <xf numFmtId="14" fontId="13" fillId="12" borderId="27" xfId="0" applyNumberFormat="1" applyFont="1" applyFill="1" applyBorder="1" applyAlignment="1">
      <alignment horizontal="left" wrapText="1"/>
    </xf>
    <xf numFmtId="8" fontId="13" fillId="12" borderId="0" xfId="0" applyNumberFormat="1" applyFont="1" applyFill="1" applyBorder="1" applyAlignment="1">
      <alignment horizontal="center" wrapText="1"/>
    </xf>
    <xf numFmtId="0" fontId="13" fillId="31" borderId="27" xfId="0" applyFont="1" applyFill="1" applyBorder="1" applyAlignment="1">
      <alignment horizontal="center" wrapText="1"/>
    </xf>
    <xf numFmtId="165" fontId="13" fillId="31" borderId="25" xfId="44" applyNumberFormat="1" applyFont="1" applyFill="1" applyBorder="1" applyAlignment="1">
      <alignment horizontal="left" wrapText="1"/>
    </xf>
    <xf numFmtId="0" fontId="13" fillId="31" borderId="0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0" xfId="0" applyFont="1" applyAlignment="1">
      <alignment horizontal="left"/>
    </xf>
    <xf numFmtId="10" fontId="7" fillId="0" borderId="12" xfId="59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167" fontId="7" fillId="0" borderId="11" xfId="44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7" fontId="7" fillId="0" borderId="11" xfId="0" applyNumberFormat="1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169" fontId="7" fillId="0" borderId="11" xfId="44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30" borderId="0" xfId="0" applyFont="1" applyFill="1" applyAlignment="1">
      <alignment horizontal="right"/>
    </xf>
    <xf numFmtId="165" fontId="0" fillId="30" borderId="0" xfId="44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4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6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/>
    </xf>
    <xf numFmtId="0" fontId="0" fillId="0" borderId="16" xfId="0" applyBorder="1" applyAlignment="1">
      <alignment horizontal="right"/>
    </xf>
    <xf numFmtId="44" fontId="0" fillId="0" borderId="17" xfId="44" applyFont="1" applyBorder="1" applyAlignment="1">
      <alignment/>
    </xf>
    <xf numFmtId="0" fontId="0" fillId="0" borderId="15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20" xfId="0" applyNumberFormat="1" applyBorder="1" applyAlignment="1">
      <alignment/>
    </xf>
    <xf numFmtId="44" fontId="0" fillId="30" borderId="0" xfId="44" applyFont="1" applyFill="1" applyBorder="1" applyAlignment="1">
      <alignment/>
    </xf>
    <xf numFmtId="0" fontId="0" fillId="0" borderId="25" xfId="0" applyBorder="1" applyAlignment="1">
      <alignment/>
    </xf>
    <xf numFmtId="165" fontId="0" fillId="0" borderId="29" xfId="44" applyNumberFormat="1" applyFont="1" applyBorder="1" applyAlignment="1">
      <alignment/>
    </xf>
    <xf numFmtId="165" fontId="0" fillId="0" borderId="28" xfId="44" applyNumberFormat="1" applyFont="1" applyBorder="1" applyAlignment="1">
      <alignment/>
    </xf>
    <xf numFmtId="10" fontId="0" fillId="30" borderId="0" xfId="59" applyNumberFormat="1" applyFont="1" applyFill="1" applyAlignment="1">
      <alignment horizontal="center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4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13" fillId="31" borderId="29" xfId="0" applyFont="1" applyFill="1" applyBorder="1" applyAlignment="1">
      <alignment horizontal="left" wrapText="1"/>
    </xf>
    <xf numFmtId="0" fontId="13" fillId="31" borderId="30" xfId="0" applyFont="1" applyFill="1" applyBorder="1" applyAlignment="1">
      <alignment horizontal="center" wrapText="1"/>
    </xf>
    <xf numFmtId="0" fontId="13" fillId="31" borderId="29" xfId="0" applyFont="1" applyFill="1" applyBorder="1" applyAlignment="1">
      <alignment horizontal="center" wrapText="1"/>
    </xf>
    <xf numFmtId="14" fontId="13" fillId="31" borderId="29" xfId="0" applyNumberFormat="1" applyFont="1" applyFill="1" applyBorder="1" applyAlignment="1">
      <alignment horizontal="left" wrapText="1"/>
    </xf>
    <xf numFmtId="165" fontId="13" fillId="31" borderId="30" xfId="44" applyNumberFormat="1" applyFont="1" applyFill="1" applyBorder="1" applyAlignment="1">
      <alignment horizontal="left" wrapText="1"/>
    </xf>
    <xf numFmtId="0" fontId="13" fillId="12" borderId="29" xfId="0" applyFont="1" applyFill="1" applyBorder="1" applyAlignment="1">
      <alignment horizontal="left" wrapText="1"/>
    </xf>
    <xf numFmtId="0" fontId="13" fillId="12" borderId="30" xfId="0" applyFont="1" applyFill="1" applyBorder="1" applyAlignment="1">
      <alignment horizontal="center" wrapText="1"/>
    </xf>
    <xf numFmtId="0" fontId="13" fillId="12" borderId="29" xfId="0" applyFont="1" applyFill="1" applyBorder="1" applyAlignment="1">
      <alignment horizontal="center" wrapText="1"/>
    </xf>
    <xf numFmtId="8" fontId="13" fillId="12" borderId="30" xfId="0" applyNumberFormat="1" applyFont="1" applyFill="1" applyBorder="1" applyAlignment="1">
      <alignment horizontal="center" wrapText="1"/>
    </xf>
    <xf numFmtId="14" fontId="13" fillId="12" borderId="29" xfId="0" applyNumberFormat="1" applyFont="1" applyFill="1" applyBorder="1" applyAlignment="1">
      <alignment horizontal="center" wrapText="1"/>
    </xf>
    <xf numFmtId="16" fontId="15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44" fontId="0" fillId="32" borderId="0" xfId="0" applyNumberForma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78" fontId="0" fillId="0" borderId="0" xfId="42" applyNumberFormat="1" applyFont="1" applyAlignment="1">
      <alignment/>
    </xf>
    <xf numFmtId="0" fontId="17" fillId="0" borderId="0" xfId="0" applyFont="1" applyAlignment="1">
      <alignment/>
    </xf>
    <xf numFmtId="165" fontId="0" fillId="0" borderId="10" xfId="0" applyNumberFormat="1" applyFont="1" applyBorder="1" applyAlignment="1">
      <alignment/>
    </xf>
    <xf numFmtId="0" fontId="13" fillId="31" borderId="16" xfId="0" applyFont="1" applyFill="1" applyBorder="1" applyAlignment="1">
      <alignment horizontal="center" wrapText="1"/>
    </xf>
    <xf numFmtId="0" fontId="13" fillId="31" borderId="17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Cash Flow</a:t>
            </a:r>
          </a:p>
        </c:rich>
      </c:tx>
      <c:layout>
        <c:manualLayout>
          <c:xMode val="factor"/>
          <c:yMode val="factor"/>
          <c:x val="-0.001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2225"/>
          <c:w val="0.91625"/>
          <c:h val="0.60825"/>
        </c:manualLayout>
      </c:layout>
      <c:lineChart>
        <c:grouping val="stacked"/>
        <c:varyColors val="0"/>
        <c:ser>
          <c:idx val="0"/>
          <c:order val="0"/>
          <c:tx>
            <c:strRef>
              <c:f>Main!$B$152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val>
            <c:numRef>
              <c:f>Main!$C$152:$AG$152</c:f>
              <c:numCache/>
            </c:numRef>
          </c:val>
          <c:smooth val="0"/>
        </c:ser>
        <c:marker val="1"/>
        <c:axId val="21860939"/>
        <c:axId val="62530724"/>
      </c:lineChart>
      <c:catAx>
        <c:axId val="21860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0724"/>
        <c:crosses val="autoZero"/>
        <c:auto val="1"/>
        <c:lblOffset val="40"/>
        <c:tickLblSkip val="1"/>
        <c:noMultiLvlLbl val="0"/>
      </c:catAx>
      <c:valAx>
        <c:axId val="62530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0939"/>
        <c:crossesAt val="1"/>
        <c:crossBetween val="between"/>
        <c:dispUnits/>
        <c:majorUnit val="10000"/>
        <c:minorUnit val="2000"/>
      </c:valAx>
      <c:spPr>
        <a:noFill/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175</xdr:row>
      <xdr:rowOff>133350</xdr:rowOff>
    </xdr:from>
    <xdr:to>
      <xdr:col>7</xdr:col>
      <xdr:colOff>685800</xdr:colOff>
      <xdr:row>206</xdr:row>
      <xdr:rowOff>104775</xdr:rowOff>
    </xdr:to>
    <xdr:graphicFrame>
      <xdr:nvGraphicFramePr>
        <xdr:cNvPr id="1" name="Chart 1"/>
        <xdr:cNvGraphicFramePr/>
      </xdr:nvGraphicFramePr>
      <xdr:xfrm>
        <a:off x="400050" y="28984575"/>
        <a:ext cx="87153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nielsw\Local%20Settings\Temporary%20Internet%20Files\Content.Outlook\VQ2XBA9L\Copy%20of%20Solar%20Electric%20Modeling%20tool%20Feb%209%202010%20BB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Summary"/>
      <sheetName val="RES Appraised Value"/>
      <sheetName val="Depreciation"/>
      <sheetName val="Payback Period"/>
      <sheetName val="Rates kWh and kW"/>
    </sheetNames>
    <sheetDataSet>
      <sheetData sheetId="0">
        <row r="80">
          <cell r="B80" t="str">
            <v>Estimated installed cost</v>
          </cell>
        </row>
        <row r="98">
          <cell r="B98" t="str">
            <v>Focus Incentive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3"/>
  <sheetViews>
    <sheetView tabSelected="1" zoomScalePageLayoutView="0" workbookViewId="0" topLeftCell="A1">
      <selection activeCell="D106" sqref="D106"/>
    </sheetView>
  </sheetViews>
  <sheetFormatPr defaultColWidth="9.140625" defaultRowHeight="12.75"/>
  <cols>
    <col min="1" max="1" width="6.28125" style="0" customWidth="1"/>
    <col min="2" max="2" width="45.8515625" style="0" customWidth="1"/>
    <col min="3" max="3" width="16.28125" style="0" customWidth="1"/>
    <col min="4" max="4" width="14.7109375" style="0" customWidth="1"/>
    <col min="5" max="5" width="13.28125" style="0" customWidth="1"/>
    <col min="6" max="6" width="13.8515625" style="0" customWidth="1"/>
    <col min="7" max="7" width="16.140625" style="0" customWidth="1"/>
    <col min="8" max="8" width="12.28125" style="0" customWidth="1"/>
    <col min="9" max="9" width="11.7109375" style="0" customWidth="1"/>
    <col min="10" max="10" width="10.8515625" style="0" customWidth="1"/>
    <col min="11" max="11" width="11.140625" style="0" customWidth="1"/>
    <col min="12" max="12" width="10.8515625" style="0" customWidth="1"/>
    <col min="13" max="13" width="9.421875" style="0" customWidth="1"/>
    <col min="14" max="14" width="14.7109375" style="0" customWidth="1"/>
    <col min="15" max="15" width="13.140625" style="0" customWidth="1"/>
    <col min="16" max="16" width="10.8515625" style="0" customWidth="1"/>
    <col min="31" max="31" width="11.421875" style="0" customWidth="1"/>
    <col min="32" max="32" width="12.421875" style="0" customWidth="1"/>
    <col min="38" max="38" width="9.28125" style="0" bestFit="1" customWidth="1"/>
  </cols>
  <sheetData>
    <row r="1" spans="1:4" ht="15">
      <c r="A1" s="43" t="s">
        <v>242</v>
      </c>
      <c r="D1" s="13"/>
    </row>
    <row r="3" spans="1:8" ht="12.75">
      <c r="A3" s="13"/>
      <c r="B3" s="33" t="s">
        <v>81</v>
      </c>
      <c r="E3" s="97" t="s">
        <v>243</v>
      </c>
      <c r="F3" s="96">
        <v>40225</v>
      </c>
      <c r="H3" s="13" t="s">
        <v>108</v>
      </c>
    </row>
    <row r="4" spans="1:8" ht="12.75">
      <c r="A4" s="13"/>
      <c r="B4" s="33"/>
      <c r="H4" s="188">
        <v>40225</v>
      </c>
    </row>
    <row r="5" spans="1:8" ht="12.75">
      <c r="A5" s="13"/>
      <c r="C5" s="42" t="s">
        <v>257</v>
      </c>
      <c r="H5" s="34" t="s">
        <v>28</v>
      </c>
    </row>
    <row r="6" spans="1:8" ht="12.75">
      <c r="A6" s="13"/>
      <c r="C6" s="42" t="s">
        <v>255</v>
      </c>
      <c r="H6" s="34" t="s">
        <v>29</v>
      </c>
    </row>
    <row r="7" spans="1:8" ht="12.75">
      <c r="A7" s="13"/>
      <c r="C7" s="42" t="s">
        <v>256</v>
      </c>
      <c r="H7" s="157" t="s">
        <v>0</v>
      </c>
    </row>
    <row r="8" spans="1:8" ht="12.75">
      <c r="A8" s="13"/>
      <c r="C8" s="42"/>
      <c r="H8" s="157"/>
    </row>
    <row r="9" spans="1:8" ht="12.75">
      <c r="A9" s="13"/>
      <c r="C9" s="42"/>
      <c r="H9" s="157"/>
    </row>
    <row r="10" spans="2:16" ht="12.75">
      <c r="B10" s="72"/>
      <c r="H10" s="125"/>
      <c r="I10" s="124"/>
      <c r="J10" s="130"/>
      <c r="K10" s="124"/>
      <c r="L10" s="124"/>
      <c r="M10" s="130"/>
      <c r="N10" s="124" t="s">
        <v>180</v>
      </c>
      <c r="O10" s="130" t="s">
        <v>84</v>
      </c>
      <c r="P10" s="130"/>
    </row>
    <row r="11" spans="2:16" ht="23.25">
      <c r="B11" s="152" t="s">
        <v>80</v>
      </c>
      <c r="C11" s="151" t="s">
        <v>83</v>
      </c>
      <c r="H11" s="126" t="s">
        <v>152</v>
      </c>
      <c r="I11" s="137" t="s">
        <v>152</v>
      </c>
      <c r="J11" s="135" t="s">
        <v>152</v>
      </c>
      <c r="K11" s="199" t="s">
        <v>153</v>
      </c>
      <c r="L11" s="200"/>
      <c r="M11" s="135" t="s">
        <v>154</v>
      </c>
      <c r="N11" s="137" t="s">
        <v>181</v>
      </c>
      <c r="O11" s="135" t="s">
        <v>89</v>
      </c>
      <c r="P11" s="135" t="s">
        <v>152</v>
      </c>
    </row>
    <row r="12" spans="8:16" ht="23.25">
      <c r="H12" s="127" t="s">
        <v>155</v>
      </c>
      <c r="I12" s="123" t="s">
        <v>156</v>
      </c>
      <c r="J12" s="129" t="s">
        <v>157</v>
      </c>
      <c r="K12" s="123" t="s">
        <v>158</v>
      </c>
      <c r="L12" s="123" t="s">
        <v>159</v>
      </c>
      <c r="M12" s="129" t="s">
        <v>160</v>
      </c>
      <c r="N12" s="123" t="s">
        <v>182</v>
      </c>
      <c r="O12" s="129" t="s">
        <v>182</v>
      </c>
      <c r="P12" s="129" t="s">
        <v>161</v>
      </c>
    </row>
    <row r="13" spans="2:16" ht="12.75">
      <c r="B13" s="35" t="s">
        <v>312</v>
      </c>
      <c r="H13" s="125" t="s">
        <v>162</v>
      </c>
      <c r="I13" s="124">
        <v>25</v>
      </c>
      <c r="J13" s="130">
        <v>1000</v>
      </c>
      <c r="K13" s="124">
        <v>1</v>
      </c>
      <c r="L13" s="124">
        <v>10</v>
      </c>
      <c r="M13" s="132">
        <v>39147</v>
      </c>
      <c r="N13" s="136">
        <v>0</v>
      </c>
      <c r="O13" s="135">
        <v>0</v>
      </c>
      <c r="P13" s="125" t="s">
        <v>165</v>
      </c>
    </row>
    <row r="14" spans="2:16" ht="12.75">
      <c r="B14" s="35"/>
      <c r="H14" s="128" t="s">
        <v>163</v>
      </c>
      <c r="I14" s="122">
        <v>25</v>
      </c>
      <c r="J14" s="131">
        <v>683</v>
      </c>
      <c r="K14" s="122">
        <v>1</v>
      </c>
      <c r="L14" s="122">
        <v>20</v>
      </c>
      <c r="M14" s="133">
        <v>39083</v>
      </c>
      <c r="N14" s="134">
        <v>12.7</v>
      </c>
      <c r="O14" s="131">
        <v>0</v>
      </c>
      <c r="P14" s="128" t="s">
        <v>121</v>
      </c>
    </row>
    <row r="15" spans="1:16" ht="12.75">
      <c r="A15" s="9"/>
      <c r="B15" s="53"/>
      <c r="C15" s="9"/>
      <c r="D15" s="9"/>
      <c r="E15" s="9"/>
      <c r="F15" s="9"/>
      <c r="G15" s="4"/>
      <c r="H15" s="178" t="s">
        <v>164</v>
      </c>
      <c r="I15" s="179">
        <v>25</v>
      </c>
      <c r="J15" s="180">
        <v>300</v>
      </c>
      <c r="K15" s="179">
        <v>0</v>
      </c>
      <c r="L15" s="179">
        <v>20</v>
      </c>
      <c r="M15" s="181">
        <v>39814</v>
      </c>
      <c r="N15" s="182">
        <v>2</v>
      </c>
      <c r="O15" s="180" t="s">
        <v>90</v>
      </c>
      <c r="P15" s="178" t="s">
        <v>121</v>
      </c>
    </row>
    <row r="16" spans="1:16" ht="23.25">
      <c r="A16" s="4"/>
      <c r="B16" s="99" t="s">
        <v>221</v>
      </c>
      <c r="C16" s="156" t="s">
        <v>3</v>
      </c>
      <c r="D16" s="100"/>
      <c r="E16" s="100"/>
      <c r="F16" s="4"/>
      <c r="G16" s="4"/>
      <c r="H16" s="183" t="s">
        <v>120</v>
      </c>
      <c r="I16" s="184">
        <v>30</v>
      </c>
      <c r="J16" s="185">
        <v>340</v>
      </c>
      <c r="K16" s="184" t="s">
        <v>118</v>
      </c>
      <c r="L16" s="184"/>
      <c r="M16" s="187" t="s">
        <v>119</v>
      </c>
      <c r="N16" s="186" t="s">
        <v>119</v>
      </c>
      <c r="O16" s="185" t="s">
        <v>119</v>
      </c>
      <c r="P16" s="183" t="s">
        <v>165</v>
      </c>
    </row>
    <row r="17" spans="1:8" ht="12.75" customHeight="1">
      <c r="A17" s="4"/>
      <c r="B17" s="99" t="s">
        <v>222</v>
      </c>
      <c r="C17" s="156" t="s">
        <v>4</v>
      </c>
      <c r="D17" s="100"/>
      <c r="E17" s="100"/>
      <c r="F17" s="4"/>
      <c r="G17" s="4"/>
      <c r="H17" s="4"/>
    </row>
    <row r="18" spans="1:8" ht="12.75">
      <c r="A18" s="4"/>
      <c r="B18" s="99" t="s">
        <v>223</v>
      </c>
      <c r="C18" s="156" t="s">
        <v>97</v>
      </c>
      <c r="D18" s="100"/>
      <c r="E18" s="100"/>
      <c r="F18" s="4"/>
      <c r="G18" s="4"/>
      <c r="H18" s="4"/>
    </row>
    <row r="19" spans="1:2" ht="12.75">
      <c r="A19" s="13" t="s">
        <v>317</v>
      </c>
      <c r="B19" s="40"/>
    </row>
    <row r="20" spans="1:5" ht="12.75">
      <c r="A20" s="13"/>
      <c r="B20" t="s">
        <v>318</v>
      </c>
      <c r="E20" s="34"/>
    </row>
    <row r="21" spans="1:2" ht="12.75">
      <c r="A21" s="13"/>
      <c r="B21" s="40" t="s">
        <v>15</v>
      </c>
    </row>
    <row r="22" spans="1:5" ht="12.75">
      <c r="A22" s="13"/>
      <c r="B22" s="40" t="s">
        <v>109</v>
      </c>
      <c r="E22" s="34"/>
    </row>
    <row r="23" spans="1:5" ht="12.75">
      <c r="A23" s="13"/>
      <c r="B23" s="40"/>
      <c r="E23" s="34"/>
    </row>
    <row r="24" spans="1:4" ht="12.75">
      <c r="A24" s="34" t="s">
        <v>249</v>
      </c>
      <c r="B24" s="40"/>
      <c r="C24" s="22" t="s">
        <v>317</v>
      </c>
      <c r="D24" s="54" t="s">
        <v>311</v>
      </c>
    </row>
    <row r="25" spans="2:4" ht="12.75">
      <c r="B25" s="15" t="s">
        <v>192</v>
      </c>
      <c r="C25" s="75">
        <v>3.675</v>
      </c>
      <c r="D25" t="s">
        <v>140</v>
      </c>
    </row>
    <row r="26" spans="1:4" ht="12.75">
      <c r="A26" s="103"/>
      <c r="B26" s="15" t="s">
        <v>141</v>
      </c>
      <c r="C26" s="75">
        <v>5</v>
      </c>
      <c r="D26" t="s">
        <v>204</v>
      </c>
    </row>
    <row r="27" spans="2:4" ht="12.75">
      <c r="B27" s="15" t="s">
        <v>269</v>
      </c>
      <c r="C27" s="55">
        <v>7891</v>
      </c>
      <c r="D27" t="s">
        <v>268</v>
      </c>
    </row>
    <row r="28" spans="2:4" ht="12.75">
      <c r="B28" s="15" t="s">
        <v>68</v>
      </c>
      <c r="C28" s="76">
        <v>6011</v>
      </c>
      <c r="D28" t="s">
        <v>267</v>
      </c>
    </row>
    <row r="29" spans="2:4" ht="12.75">
      <c r="B29" s="15" t="s">
        <v>69</v>
      </c>
      <c r="C29" s="73">
        <v>0</v>
      </c>
      <c r="D29" t="s">
        <v>270</v>
      </c>
    </row>
    <row r="30" spans="1:3" ht="12.75">
      <c r="A30" t="s">
        <v>248</v>
      </c>
      <c r="B30" s="15"/>
      <c r="C30" s="56"/>
    </row>
    <row r="31" spans="2:4" ht="12.75">
      <c r="B31" s="16" t="s">
        <v>246</v>
      </c>
      <c r="C31" s="121" t="s">
        <v>310</v>
      </c>
      <c r="D31" s="4" t="s">
        <v>245</v>
      </c>
    </row>
    <row r="32" spans="2:4" ht="12.75">
      <c r="B32" s="15" t="s">
        <v>247</v>
      </c>
      <c r="C32" s="114" t="s">
        <v>310</v>
      </c>
      <c r="D32" t="s">
        <v>316</v>
      </c>
    </row>
    <row r="33" spans="1:3" ht="12.75">
      <c r="A33" s="62" t="s">
        <v>251</v>
      </c>
      <c r="C33" s="6"/>
    </row>
    <row r="34" spans="1:9" ht="12.75">
      <c r="A34" s="4"/>
      <c r="B34" s="16" t="s">
        <v>234</v>
      </c>
      <c r="C34" s="167">
        <v>0.12</v>
      </c>
      <c r="D34" s="4" t="s">
        <v>211</v>
      </c>
      <c r="E34" s="4"/>
      <c r="F34" s="4"/>
      <c r="G34" s="4"/>
      <c r="H34" s="4"/>
      <c r="I34" s="4"/>
    </row>
    <row r="35" spans="1:9" ht="12.75">
      <c r="A35" s="4"/>
      <c r="B35" s="16" t="s">
        <v>261</v>
      </c>
      <c r="C35" s="59">
        <v>0.07</v>
      </c>
      <c r="D35" s="64" t="s">
        <v>183</v>
      </c>
      <c r="E35" s="4"/>
      <c r="F35" s="4"/>
      <c r="G35" s="4"/>
      <c r="H35" s="4"/>
      <c r="I35" s="4"/>
    </row>
    <row r="36" spans="1:4" ht="12.75">
      <c r="A36" s="13"/>
      <c r="B36" s="15" t="s">
        <v>319</v>
      </c>
      <c r="C36" s="66">
        <v>0</v>
      </c>
      <c r="D36" s="78" t="s">
        <v>210</v>
      </c>
    </row>
    <row r="37" spans="1:4" ht="12.75">
      <c r="A37" s="13"/>
      <c r="B37" s="15" t="s">
        <v>14</v>
      </c>
      <c r="C37" s="66">
        <v>0</v>
      </c>
      <c r="D37" s="78" t="s">
        <v>210</v>
      </c>
    </row>
    <row r="38" spans="1:4" ht="12.75">
      <c r="A38" s="13"/>
      <c r="B38" s="15" t="s">
        <v>325</v>
      </c>
      <c r="C38" s="60">
        <v>0</v>
      </c>
      <c r="D38" t="s">
        <v>259</v>
      </c>
    </row>
    <row r="39" spans="1:5" ht="12.75">
      <c r="A39" s="13"/>
      <c r="B39" s="16" t="s">
        <v>324</v>
      </c>
      <c r="C39" s="98">
        <v>0</v>
      </c>
      <c r="D39" s="4" t="s">
        <v>258</v>
      </c>
      <c r="E39" s="4"/>
    </row>
    <row r="40" spans="1:8" ht="12.75">
      <c r="A40" s="21"/>
      <c r="B40" s="16" t="s">
        <v>260</v>
      </c>
      <c r="C40" s="59">
        <v>0.07</v>
      </c>
      <c r="D40" s="4"/>
      <c r="F40" s="4"/>
      <c r="G40" s="4"/>
      <c r="H40" s="4"/>
    </row>
    <row r="41" spans="1:8" ht="12.75">
      <c r="A41" s="4" t="s">
        <v>271</v>
      </c>
      <c r="B41" s="16"/>
      <c r="C41" s="58"/>
      <c r="D41" s="4"/>
      <c r="E41" s="4"/>
      <c r="F41" s="4"/>
      <c r="G41" s="4"/>
      <c r="H41" s="4"/>
    </row>
    <row r="42" spans="2:4" ht="12.75">
      <c r="B42" s="39" t="s">
        <v>87</v>
      </c>
      <c r="C42" s="121" t="s">
        <v>310</v>
      </c>
      <c r="D42" t="s">
        <v>316</v>
      </c>
    </row>
    <row r="43" spans="2:4" ht="12.75">
      <c r="B43" s="39" t="s">
        <v>139</v>
      </c>
      <c r="C43" s="79">
        <v>0.12</v>
      </c>
      <c r="D43" s="34" t="s">
        <v>122</v>
      </c>
    </row>
    <row r="44" spans="2:4" ht="12.75">
      <c r="B44" s="39" t="s">
        <v>166</v>
      </c>
      <c r="C44" s="94">
        <v>10</v>
      </c>
      <c r="D44" s="34" t="s">
        <v>123</v>
      </c>
    </row>
    <row r="45" spans="2:4" ht="12.75">
      <c r="B45" s="39" t="s">
        <v>86</v>
      </c>
      <c r="C45" s="120">
        <v>0</v>
      </c>
      <c r="D45" s="34" t="s">
        <v>124</v>
      </c>
    </row>
    <row r="46" spans="2:4" ht="12.75">
      <c r="B46" s="39" t="s">
        <v>85</v>
      </c>
      <c r="C46" s="153">
        <v>0</v>
      </c>
      <c r="D46" s="34" t="s">
        <v>125</v>
      </c>
    </row>
    <row r="47" spans="1:3" ht="12.75">
      <c r="A47" t="s">
        <v>151</v>
      </c>
      <c r="C47" s="6"/>
    </row>
    <row r="48" spans="2:4" ht="12.75">
      <c r="B48" s="15" t="s">
        <v>263</v>
      </c>
      <c r="C48" s="60">
        <v>0.3</v>
      </c>
      <c r="D48" t="s">
        <v>146</v>
      </c>
    </row>
    <row r="49" spans="1:9" ht="12.75">
      <c r="A49" s="4"/>
      <c r="B49" s="16" t="s">
        <v>264</v>
      </c>
      <c r="C49" s="59">
        <v>0.079</v>
      </c>
      <c r="D49" s="4" t="s">
        <v>147</v>
      </c>
      <c r="E49" s="4"/>
      <c r="F49" s="4"/>
      <c r="G49" s="4"/>
      <c r="H49" s="4"/>
      <c r="I49" s="4"/>
    </row>
    <row r="50" spans="2:9" ht="12.75">
      <c r="B50" s="16" t="s">
        <v>228</v>
      </c>
      <c r="C50" s="94">
        <v>5</v>
      </c>
      <c r="D50" s="78" t="s">
        <v>142</v>
      </c>
      <c r="E50" s="4" t="s">
        <v>137</v>
      </c>
      <c r="G50" s="4"/>
      <c r="H50" s="4"/>
      <c r="I50" s="4"/>
    </row>
    <row r="51" spans="1:9" ht="12.75">
      <c r="A51" s="4"/>
      <c r="B51" s="16"/>
      <c r="C51" s="71"/>
      <c r="D51" s="78"/>
      <c r="E51" s="4" t="s">
        <v>138</v>
      </c>
      <c r="G51" s="4"/>
      <c r="H51" s="4"/>
      <c r="I51" s="4"/>
    </row>
    <row r="52" spans="1:9" ht="12.75">
      <c r="A52" s="4" t="s">
        <v>148</v>
      </c>
      <c r="B52" s="16"/>
      <c r="C52" s="61"/>
      <c r="D52" s="78"/>
      <c r="E52" s="4" t="s">
        <v>92</v>
      </c>
      <c r="F52" s="4"/>
      <c r="G52" s="4"/>
      <c r="H52" s="4"/>
      <c r="I52" s="4"/>
    </row>
    <row r="53" spans="2:9" ht="12.75">
      <c r="B53" s="119" t="s">
        <v>75</v>
      </c>
      <c r="E53" s="4"/>
      <c r="F53" s="4"/>
      <c r="G53" s="4"/>
      <c r="H53" s="4"/>
      <c r="I53" s="4"/>
    </row>
    <row r="54" spans="1:9" ht="12.75">
      <c r="A54" s="4"/>
      <c r="B54" s="39" t="s">
        <v>176</v>
      </c>
      <c r="C54" s="111" t="s">
        <v>136</v>
      </c>
      <c r="D54" t="s">
        <v>316</v>
      </c>
      <c r="E54" s="4"/>
      <c r="F54" s="4"/>
      <c r="G54" s="4"/>
      <c r="H54" s="4"/>
      <c r="I54" s="4"/>
    </row>
    <row r="55" spans="1:9" ht="12.75">
      <c r="A55" s="110" t="s">
        <v>132</v>
      </c>
      <c r="C55" s="61"/>
      <c r="D55" s="78"/>
      <c r="F55" s="4"/>
      <c r="G55" s="4"/>
      <c r="H55" s="4"/>
      <c r="I55" s="4"/>
    </row>
    <row r="56" spans="2:9" ht="12.75">
      <c r="B56" s="16" t="s">
        <v>133</v>
      </c>
      <c r="C56" s="111" t="s">
        <v>136</v>
      </c>
      <c r="D56" t="s">
        <v>316</v>
      </c>
      <c r="E56" s="4"/>
      <c r="F56" s="4"/>
      <c r="G56" s="4"/>
      <c r="H56" s="4"/>
      <c r="I56" s="4"/>
    </row>
    <row r="57" spans="2:9" ht="12.75">
      <c r="B57" s="16" t="s">
        <v>70</v>
      </c>
      <c r="C57" s="111" t="s">
        <v>136</v>
      </c>
      <c r="D57" t="s">
        <v>316</v>
      </c>
      <c r="E57" s="4"/>
      <c r="F57" s="4"/>
      <c r="G57" s="4"/>
      <c r="H57" s="4"/>
      <c r="I57" s="4"/>
    </row>
    <row r="58" spans="2:6" ht="12.75">
      <c r="B58" s="63"/>
      <c r="C58" s="191"/>
      <c r="F58" s="13"/>
    </row>
    <row r="59" spans="1:3" ht="12.75">
      <c r="A59" t="s">
        <v>250</v>
      </c>
      <c r="B59" s="39"/>
      <c r="C59" s="61"/>
    </row>
    <row r="60" spans="2:7" ht="12.75">
      <c r="B60" s="93" t="s">
        <v>60</v>
      </c>
      <c r="C60" s="114" t="s">
        <v>310</v>
      </c>
      <c r="D60" t="s">
        <v>316</v>
      </c>
      <c r="F60" s="154"/>
      <c r="G60" s="155"/>
    </row>
    <row r="61" spans="2:7" ht="12.75">
      <c r="B61" s="93" t="s">
        <v>62</v>
      </c>
      <c r="C61" s="114" t="s">
        <v>136</v>
      </c>
      <c r="D61" t="s">
        <v>316</v>
      </c>
      <c r="F61" s="154"/>
      <c r="G61" s="155"/>
    </row>
    <row r="62" spans="2:10" ht="12.75">
      <c r="B62" s="93" t="s">
        <v>61</v>
      </c>
      <c r="C62" s="114" t="s">
        <v>310</v>
      </c>
      <c r="D62" t="s">
        <v>316</v>
      </c>
      <c r="F62" s="13"/>
      <c r="G62" s="155"/>
      <c r="J62" s="34" t="s">
        <v>110</v>
      </c>
    </row>
    <row r="63" spans="1:2" ht="12.75">
      <c r="A63" t="s">
        <v>274</v>
      </c>
      <c r="B63" s="15"/>
    </row>
    <row r="64" spans="1:4" ht="12.75">
      <c r="A64" s="103"/>
      <c r="B64" s="93" t="s">
        <v>63</v>
      </c>
      <c r="C64" s="66">
        <v>0</v>
      </c>
      <c r="D64" t="s">
        <v>149</v>
      </c>
    </row>
    <row r="65" spans="1:4" ht="12.75">
      <c r="A65" s="103"/>
      <c r="B65" s="93" t="s">
        <v>64</v>
      </c>
      <c r="C65" s="109">
        <v>0</v>
      </c>
      <c r="D65" t="s">
        <v>150</v>
      </c>
    </row>
    <row r="66" spans="1:3" ht="12.75">
      <c r="A66" t="s">
        <v>103</v>
      </c>
      <c r="B66" s="15"/>
      <c r="C66" s="57"/>
    </row>
    <row r="67" spans="2:7" ht="12.75">
      <c r="B67" s="15" t="s">
        <v>100</v>
      </c>
      <c r="C67" s="171">
        <v>0</v>
      </c>
      <c r="D67" t="s">
        <v>102</v>
      </c>
      <c r="F67" s="8">
        <v>0.0025</v>
      </c>
      <c r="G67" t="s">
        <v>101</v>
      </c>
    </row>
    <row r="68" spans="2:6" ht="12.75">
      <c r="B68" s="15" t="s">
        <v>104</v>
      </c>
      <c r="C68" s="171">
        <v>0</v>
      </c>
      <c r="D68" t="s">
        <v>102</v>
      </c>
      <c r="F68" s="8">
        <v>0.004</v>
      </c>
    </row>
    <row r="69" spans="2:4" ht="12.75">
      <c r="B69" s="15" t="s">
        <v>106</v>
      </c>
      <c r="C69" s="171">
        <v>0.03</v>
      </c>
      <c r="D69" t="s">
        <v>107</v>
      </c>
    </row>
    <row r="70" spans="1:3" ht="12.75">
      <c r="A70" t="s">
        <v>253</v>
      </c>
      <c r="C70" s="6"/>
    </row>
    <row r="71" spans="2:7" ht="12.75">
      <c r="B71" s="16" t="s">
        <v>337</v>
      </c>
      <c r="C71" s="77">
        <v>0.8</v>
      </c>
      <c r="D71" s="4" t="s">
        <v>244</v>
      </c>
      <c r="E71" s="4"/>
      <c r="F71" s="4"/>
      <c r="G71" s="4"/>
    </row>
    <row r="72" spans="2:7" ht="12.75">
      <c r="B72" s="63" t="s">
        <v>327</v>
      </c>
      <c r="C72" s="67">
        <v>0.005</v>
      </c>
      <c r="D72" s="4" t="s">
        <v>99</v>
      </c>
      <c r="E72" s="4"/>
      <c r="F72" s="4"/>
      <c r="G72" s="4"/>
    </row>
    <row r="73" spans="2:4" ht="12.75">
      <c r="B73" s="16" t="s">
        <v>232</v>
      </c>
      <c r="C73" s="68">
        <v>2.216</v>
      </c>
      <c r="D73" t="s">
        <v>129</v>
      </c>
    </row>
    <row r="74" spans="1:4" ht="12.75">
      <c r="A74" t="s">
        <v>252</v>
      </c>
      <c r="B74" s="16"/>
      <c r="C74" s="69"/>
      <c r="D74" s="4"/>
    </row>
    <row r="75" spans="2:4" ht="12.75">
      <c r="B75" s="16" t="s">
        <v>7</v>
      </c>
      <c r="C75" s="59">
        <v>0.06</v>
      </c>
      <c r="D75" s="78" t="s">
        <v>6</v>
      </c>
    </row>
    <row r="76" spans="2:3" ht="12.75">
      <c r="B76" s="16"/>
      <c r="C76" s="4"/>
    </row>
    <row r="77" spans="1:8" ht="12.75">
      <c r="A77" s="22" t="s">
        <v>254</v>
      </c>
      <c r="B77" s="9"/>
      <c r="C77" s="65"/>
      <c r="D77" s="9"/>
      <c r="E77" s="9"/>
      <c r="F77" s="9"/>
      <c r="G77" s="9"/>
      <c r="H77" s="9"/>
    </row>
    <row r="78" spans="1:4" s="13" customFormat="1" ht="12.75">
      <c r="A78" s="34" t="s">
        <v>297</v>
      </c>
      <c r="D78" s="34"/>
    </row>
    <row r="79" spans="1:4" s="13" customFormat="1" ht="12.75">
      <c r="A79" s="34"/>
      <c r="B79" s="93" t="s">
        <v>203</v>
      </c>
      <c r="C79" s="34">
        <f>+C71*C25</f>
        <v>2.94</v>
      </c>
      <c r="D79" s="34" t="s">
        <v>204</v>
      </c>
    </row>
    <row r="80" spans="1:3" ht="12.75">
      <c r="A80" s="34"/>
      <c r="B80" s="15" t="s">
        <v>240</v>
      </c>
      <c r="C80" s="52">
        <f>+C25*C27</f>
        <v>28999.425</v>
      </c>
    </row>
    <row r="81" spans="1:8" ht="12.75">
      <c r="A81" s="54"/>
      <c r="B81" s="24" t="s">
        <v>338</v>
      </c>
      <c r="C81" s="74">
        <v>6011</v>
      </c>
      <c r="D81" s="9"/>
      <c r="E81" s="9"/>
      <c r="F81" s="9"/>
      <c r="G81" s="9"/>
      <c r="H81" s="9"/>
    </row>
    <row r="82" spans="1:8" ht="12.75">
      <c r="A82" s="64" t="s">
        <v>339</v>
      </c>
      <c r="B82" s="16"/>
      <c r="C82" s="44"/>
      <c r="D82" s="4"/>
      <c r="E82" s="4"/>
      <c r="F82" s="4"/>
      <c r="G82" s="4"/>
      <c r="H82" s="4"/>
    </row>
    <row r="83" spans="1:8" ht="12.75">
      <c r="A83" s="54"/>
      <c r="B83" s="41" t="s">
        <v>233</v>
      </c>
      <c r="C83" s="9">
        <f>+C73*C81/2000</f>
        <v>6.660188000000001</v>
      </c>
      <c r="D83" s="9"/>
      <c r="E83" s="9"/>
      <c r="F83" s="9"/>
      <c r="G83" s="9"/>
      <c r="H83" s="9"/>
    </row>
    <row r="84" spans="1:8" ht="12.75">
      <c r="A84" s="34" t="s">
        <v>298</v>
      </c>
      <c r="B84" s="4"/>
      <c r="C84" s="14"/>
      <c r="D84" s="4"/>
      <c r="E84" s="4"/>
      <c r="F84" s="4"/>
      <c r="G84" s="4"/>
      <c r="H84" s="4"/>
    </row>
    <row r="85" spans="1:8" ht="12.75">
      <c r="A85" s="13"/>
      <c r="B85" s="15" t="s">
        <v>304</v>
      </c>
      <c r="C85" s="27">
        <v>0.5</v>
      </c>
      <c r="D85" s="4"/>
      <c r="G85" s="4"/>
      <c r="H85" s="4"/>
    </row>
    <row r="86" spans="1:8" ht="12.75">
      <c r="A86" s="13"/>
      <c r="B86" s="16" t="s">
        <v>302</v>
      </c>
      <c r="C86" s="25">
        <f>IF(C58="Y",10000,50)</f>
        <v>50</v>
      </c>
      <c r="D86" s="4"/>
      <c r="G86" s="93" t="s">
        <v>32</v>
      </c>
      <c r="H86" s="2">
        <f>IF(C25&lt;=50,IF(C57="Y",0.25*C81,0),0)</f>
        <v>1502.75</v>
      </c>
    </row>
    <row r="87" spans="1:9" ht="12.75">
      <c r="A87" s="13"/>
      <c r="B87" s="16" t="s">
        <v>300</v>
      </c>
      <c r="C87" s="44">
        <f>IF(C31="C",0.25,0.35)</f>
        <v>0.35</v>
      </c>
      <c r="D87" s="4"/>
      <c r="E87" s="4"/>
      <c r="F87" s="4"/>
      <c r="G87" s="39" t="s">
        <v>1</v>
      </c>
      <c r="H87" s="14">
        <f>C98-E100</f>
        <v>-6016.5</v>
      </c>
      <c r="I87" s="34" t="s">
        <v>2</v>
      </c>
    </row>
    <row r="88" spans="1:8" ht="12.75">
      <c r="A88" s="13"/>
      <c r="B88" s="39" t="s">
        <v>167</v>
      </c>
      <c r="C88" s="28">
        <f>IF(C56="N",0,IF(C25&lt;$C$85,0,IF(C25&gt;$C$86,0,1)))</f>
        <v>1</v>
      </c>
      <c r="D88" s="4" t="s">
        <v>305</v>
      </c>
      <c r="E88" s="26"/>
      <c r="F88" s="26"/>
      <c r="G88" s="4"/>
      <c r="H88" s="4"/>
    </row>
    <row r="89" spans="1:8" ht="12.75">
      <c r="A89" s="13"/>
      <c r="B89" s="39" t="s">
        <v>93</v>
      </c>
      <c r="C89" s="29" t="str">
        <f>IF(C25&gt;50,"L",IF(C25&lt;=20,"S","M"))</f>
        <v>S</v>
      </c>
      <c r="D89" s="4"/>
      <c r="E89" s="26"/>
      <c r="F89" s="26"/>
      <c r="G89" s="4"/>
      <c r="H89" s="4"/>
    </row>
    <row r="90" spans="1:8" ht="12.75">
      <c r="A90" s="13"/>
      <c r="B90" s="16"/>
      <c r="C90" s="25"/>
      <c r="D90" s="80"/>
      <c r="E90" s="168"/>
      <c r="F90" s="201" t="s">
        <v>303</v>
      </c>
      <c r="G90" s="201"/>
      <c r="H90" s="202"/>
    </row>
    <row r="91" spans="1:8" ht="12.75">
      <c r="A91" s="13"/>
      <c r="B91" s="16"/>
      <c r="C91" s="25"/>
      <c r="D91" s="81"/>
      <c r="E91" s="4"/>
      <c r="F91" s="26" t="s">
        <v>306</v>
      </c>
      <c r="G91" s="26" t="s">
        <v>94</v>
      </c>
      <c r="H91" s="82" t="s">
        <v>307</v>
      </c>
    </row>
    <row r="92" spans="1:8" ht="12.75">
      <c r="A92" s="13"/>
      <c r="B92" s="16" t="s">
        <v>299</v>
      </c>
      <c r="C92" s="18">
        <f>C88*INDEX(F92:H93,MATCH(C31,E92:E93,),MATCH(C89,F91:H91,))</f>
        <v>1.5</v>
      </c>
      <c r="D92" s="81" t="s">
        <v>98</v>
      </c>
      <c r="E92" s="16" t="s">
        <v>236</v>
      </c>
      <c r="F92" s="17">
        <v>1</v>
      </c>
      <c r="G92" s="17">
        <v>1</v>
      </c>
      <c r="H92" s="161">
        <v>1</v>
      </c>
    </row>
    <row r="93" spans="1:8" ht="12.75">
      <c r="A93" s="13"/>
      <c r="B93" s="16"/>
      <c r="C93" s="14"/>
      <c r="D93" s="81"/>
      <c r="E93" s="16" t="s">
        <v>310</v>
      </c>
      <c r="F93" s="17">
        <v>1.5</v>
      </c>
      <c r="G93" s="17">
        <v>1.5</v>
      </c>
      <c r="H93" s="161">
        <v>1.5</v>
      </c>
    </row>
    <row r="94" spans="1:9" ht="12.75">
      <c r="A94" s="13"/>
      <c r="B94" s="16"/>
      <c r="D94" s="160" t="s">
        <v>95</v>
      </c>
      <c r="E94" s="16" t="s">
        <v>236</v>
      </c>
      <c r="F94" s="19">
        <v>50000</v>
      </c>
      <c r="G94" s="19">
        <v>50000</v>
      </c>
      <c r="H94" s="83">
        <v>250000</v>
      </c>
      <c r="I94" s="169">
        <f>IF(C89="S",F94,IF(C89="M",G94,H94))</f>
        <v>50000</v>
      </c>
    </row>
    <row r="95" spans="1:9" ht="12.75">
      <c r="A95" s="13"/>
      <c r="B95" s="16"/>
      <c r="C95" s="14"/>
      <c r="D95" s="92"/>
      <c r="E95" s="24" t="s">
        <v>310</v>
      </c>
      <c r="F95" s="11">
        <v>75000</v>
      </c>
      <c r="G95" s="11">
        <v>75000</v>
      </c>
      <c r="H95" s="84">
        <v>250000</v>
      </c>
      <c r="I95" s="170">
        <f>IF(C89="S",F95,IF(C89="M",G95,H95))</f>
        <v>75000</v>
      </c>
    </row>
    <row r="96" spans="1:8" ht="12.75">
      <c r="A96" s="13"/>
      <c r="B96" s="15"/>
      <c r="C96" s="1"/>
      <c r="G96" s="4"/>
      <c r="H96" s="158"/>
    </row>
    <row r="97" spans="1:9" ht="12.75">
      <c r="A97" s="13"/>
      <c r="B97" s="15"/>
      <c r="D97" s="162" t="s">
        <v>288</v>
      </c>
      <c r="E97" s="163" t="s">
        <v>301</v>
      </c>
      <c r="F97" s="164" t="s">
        <v>272</v>
      </c>
      <c r="H97" s="89" t="s">
        <v>202</v>
      </c>
      <c r="I97" s="90"/>
    </row>
    <row r="98" spans="1:9" s="4" customFormat="1" ht="12.75">
      <c r="A98" s="21"/>
      <c r="B98" s="93" t="s">
        <v>31</v>
      </c>
      <c r="C98" s="2">
        <v>3000</v>
      </c>
      <c r="D98" s="165" t="s">
        <v>289</v>
      </c>
      <c r="E98" s="26" t="s">
        <v>290</v>
      </c>
      <c r="F98" s="82" t="s">
        <v>273</v>
      </c>
      <c r="H98" s="115"/>
      <c r="I98" s="83"/>
    </row>
    <row r="99" spans="1:9" s="4" customFormat="1" ht="12.75">
      <c r="A99" s="21"/>
      <c r="D99" s="166">
        <f>(C92*C81)+H86</f>
        <v>10519.25</v>
      </c>
      <c r="E99" s="10">
        <f>C87*C80</f>
        <v>10149.79875</v>
      </c>
      <c r="F99" s="84">
        <f>IF(C31="C",I94,I95)</f>
        <v>75000</v>
      </c>
      <c r="H99" s="81" t="s">
        <v>199</v>
      </c>
      <c r="I99" s="91">
        <f>C100/2</f>
        <v>12999.7125</v>
      </c>
    </row>
    <row r="100" spans="1:9" s="4" customFormat="1" ht="12.75">
      <c r="A100" s="22"/>
      <c r="B100" s="24" t="s">
        <v>239</v>
      </c>
      <c r="C100" s="10">
        <f>C80-C98</f>
        <v>25999.425</v>
      </c>
      <c r="D100" s="198" t="s">
        <v>30</v>
      </c>
      <c r="E100" s="10">
        <f>(C92*C81)</f>
        <v>9016.5</v>
      </c>
      <c r="F100" s="11"/>
      <c r="H100" s="81" t="s">
        <v>200</v>
      </c>
      <c r="I100" s="83">
        <v>100000</v>
      </c>
    </row>
    <row r="101" spans="1:9" s="4" customFormat="1" ht="12.75">
      <c r="A101" s="64" t="s">
        <v>49</v>
      </c>
      <c r="B101" s="16"/>
      <c r="C101" s="14"/>
      <c r="D101" s="14"/>
      <c r="E101" s="14"/>
      <c r="F101" s="19"/>
      <c r="H101" s="92" t="s">
        <v>201</v>
      </c>
      <c r="I101" s="84">
        <v>10000</v>
      </c>
    </row>
    <row r="102" spans="1:9" s="4" customFormat="1" ht="12.75">
      <c r="A102" s="21"/>
      <c r="B102" s="15" t="s">
        <v>178</v>
      </c>
      <c r="C102" s="27">
        <v>50</v>
      </c>
      <c r="H102" s="92"/>
      <c r="I102" s="84">
        <f>+IF(I99&lt;I101,0,MIN(I99:I100))</f>
        <v>12999.7125</v>
      </c>
    </row>
    <row r="103" spans="1:6" s="4" customFormat="1" ht="12.75">
      <c r="A103" s="21"/>
      <c r="B103" s="16" t="s">
        <v>179</v>
      </c>
      <c r="C103" s="25">
        <v>10000</v>
      </c>
      <c r="E103" t="s">
        <v>50</v>
      </c>
      <c r="F103" s="19"/>
    </row>
    <row r="104" spans="1:10" s="4" customFormat="1" ht="12.75">
      <c r="A104" s="21"/>
      <c r="B104" s="39" t="s">
        <v>167</v>
      </c>
      <c r="C104" s="189" t="str">
        <f>IF(C61="Y",IF(C25&gt;50,"Y","N"),"N")</f>
        <v>N</v>
      </c>
      <c r="E104" t="s">
        <v>98</v>
      </c>
      <c r="F104" s="19" t="s">
        <v>236</v>
      </c>
      <c r="G104" s="4">
        <v>1</v>
      </c>
      <c r="H104" s="17">
        <f>G104*$C$81</f>
        <v>6011</v>
      </c>
      <c r="I104" s="4" t="s">
        <v>51</v>
      </c>
      <c r="J104" s="14">
        <f>MIN(H105,H107,H108)</f>
        <v>9016.5</v>
      </c>
    </row>
    <row r="105" spans="1:10" s="4" customFormat="1" ht="12.75">
      <c r="A105" s="21"/>
      <c r="B105" s="39" t="s">
        <v>169</v>
      </c>
      <c r="C105" s="19">
        <f>IF(C104="Y",IF(C31="C",J105,J104),0)</f>
        <v>0</v>
      </c>
      <c r="D105" s="64"/>
      <c r="F105" s="19" t="s">
        <v>310</v>
      </c>
      <c r="G105" s="4">
        <v>1.5</v>
      </c>
      <c r="H105" s="17">
        <f>G105*$C$81</f>
        <v>9016.5</v>
      </c>
      <c r="I105" s="4" t="s">
        <v>52</v>
      </c>
      <c r="J105" s="14">
        <f>MIN(H104,H106,H108)</f>
        <v>6011</v>
      </c>
    </row>
    <row r="106" spans="1:8" s="4" customFormat="1" ht="12.75">
      <c r="A106" s="21"/>
      <c r="D106" s="14"/>
      <c r="E106" s="26" t="s">
        <v>95</v>
      </c>
      <c r="F106" s="19" t="s">
        <v>236</v>
      </c>
      <c r="G106" s="190">
        <v>0.25</v>
      </c>
      <c r="H106" s="14">
        <f>G106*$C$80</f>
        <v>7249.85625</v>
      </c>
    </row>
    <row r="107" spans="1:8" s="4" customFormat="1" ht="12.75">
      <c r="A107" s="62" t="s">
        <v>170</v>
      </c>
      <c r="B107" s="39"/>
      <c r="C107" s="19"/>
      <c r="D107" s="14"/>
      <c r="E107" s="14"/>
      <c r="F107" s="19" t="s">
        <v>310</v>
      </c>
      <c r="G107" s="190">
        <v>0.35</v>
      </c>
      <c r="H107" s="14">
        <f>G107*$C$80</f>
        <v>10149.79875</v>
      </c>
    </row>
    <row r="108" spans="1:8" s="4" customFormat="1" ht="12.75">
      <c r="A108"/>
      <c r="B108" s="93" t="s">
        <v>174</v>
      </c>
      <c r="C108" s="118" t="str">
        <f>IF(C60="Y",IF($C$31="N","Y","N"),"N")</f>
        <v>N</v>
      </c>
      <c r="D108" s="34"/>
      <c r="E108"/>
      <c r="F108" s="19"/>
      <c r="G108" s="4" t="s">
        <v>113</v>
      </c>
      <c r="H108" s="159">
        <v>250000</v>
      </c>
    </row>
    <row r="109" spans="1:6" s="4" customFormat="1" ht="12.75">
      <c r="A109" s="62"/>
      <c r="B109" s="39" t="s">
        <v>175</v>
      </c>
      <c r="C109" s="2">
        <f>IF(C108="Y",I102,0)</f>
        <v>0</v>
      </c>
      <c r="D109" s="14"/>
      <c r="E109" s="14"/>
      <c r="F109" s="19"/>
    </row>
    <row r="110" spans="1:6" s="4" customFormat="1" ht="12.75">
      <c r="A110" s="62" t="s">
        <v>48</v>
      </c>
      <c r="B110" s="39"/>
      <c r="D110" s="14"/>
      <c r="E110" s="14"/>
      <c r="F110" s="19"/>
    </row>
    <row r="111" spans="1:6" s="4" customFormat="1" ht="12.75">
      <c r="A111" s="62"/>
      <c r="B111" s="93" t="s">
        <v>72</v>
      </c>
      <c r="C111" s="118" t="str">
        <f>IF(C61="Y",IF($C$31="N","Y","N"),"N")</f>
        <v>Y</v>
      </c>
      <c r="D111" s="14"/>
      <c r="E111" s="14"/>
      <c r="F111" s="19"/>
    </row>
    <row r="112" spans="1:6" s="4" customFormat="1" ht="12.75">
      <c r="A112" s="62"/>
      <c r="B112" s="39" t="s">
        <v>168</v>
      </c>
      <c r="C112" s="2">
        <f>IF(C111="Y",C98,0)</f>
        <v>3000</v>
      </c>
      <c r="D112" s="14"/>
      <c r="E112" s="14"/>
      <c r="F112" s="19"/>
    </row>
    <row r="113" spans="1:8" s="4" customFormat="1" ht="12.75">
      <c r="A113" s="62"/>
      <c r="D113" s="14"/>
      <c r="E113" s="80"/>
      <c r="F113" s="172" t="s">
        <v>112</v>
      </c>
      <c r="G113" s="172" t="s">
        <v>113</v>
      </c>
      <c r="H113" s="173" t="s">
        <v>114</v>
      </c>
    </row>
    <row r="114" spans="1:8" s="4" customFormat="1" ht="12.75">
      <c r="A114" s="62" t="s">
        <v>111</v>
      </c>
      <c r="B114" s="39"/>
      <c r="C114" s="2">
        <f>IF(C31="N",IF(C62="Y",H114,0),0)</f>
        <v>0</v>
      </c>
      <c r="D114" s="14"/>
      <c r="E114" s="174" t="s">
        <v>115</v>
      </c>
      <c r="F114" s="175">
        <f>D146*7</f>
        <v>5049.24</v>
      </c>
      <c r="G114" s="176">
        <f>-0.5*C131-C141-D141-C134-D134</f>
        <v>11499.7125</v>
      </c>
      <c r="H114" s="177">
        <f>MIN(F114:G114)</f>
        <v>5049.24</v>
      </c>
    </row>
    <row r="115" spans="1:7" s="4" customFormat="1" ht="12.75">
      <c r="A115" s="62"/>
      <c r="B115" s="39"/>
      <c r="C115" s="2"/>
      <c r="D115" s="14"/>
      <c r="E115" s="14"/>
      <c r="F115" s="19"/>
      <c r="G115" s="64"/>
    </row>
    <row r="116" spans="1:6" s="4" customFormat="1" ht="12.75">
      <c r="A116" t="s">
        <v>274</v>
      </c>
      <c r="B116" s="15"/>
      <c r="C116"/>
      <c r="D116"/>
      <c r="E116"/>
      <c r="F116"/>
    </row>
    <row r="117" spans="1:6" s="4" customFormat="1" ht="12.75">
      <c r="A117" s="103"/>
      <c r="B117" s="15" t="s">
        <v>76</v>
      </c>
      <c r="C117" s="116">
        <f>+C64</f>
        <v>0</v>
      </c>
      <c r="D117" t="s">
        <v>149</v>
      </c>
      <c r="E117"/>
      <c r="F117"/>
    </row>
    <row r="118" spans="1:6" s="4" customFormat="1" ht="12.75">
      <c r="A118" s="103"/>
      <c r="B118" s="15" t="s">
        <v>130</v>
      </c>
      <c r="C118" s="116">
        <f>+C65</f>
        <v>0</v>
      </c>
      <c r="D118" t="s">
        <v>150</v>
      </c>
      <c r="E118"/>
      <c r="F118"/>
    </row>
    <row r="119" spans="1:10" ht="12.75">
      <c r="A119" s="34" t="s">
        <v>91</v>
      </c>
      <c r="B119" s="12"/>
      <c r="C119" s="23"/>
      <c r="J119" s="78"/>
    </row>
    <row r="120" spans="2:4" ht="12.75">
      <c r="B120" s="16" t="s">
        <v>265</v>
      </c>
      <c r="C120" s="58">
        <f>IF($C$31="N",0,1)</f>
        <v>0</v>
      </c>
      <c r="D120" s="4" t="s">
        <v>305</v>
      </c>
    </row>
    <row r="121" spans="1:3" ht="12.75">
      <c r="A121" s="13"/>
      <c r="B121" s="15" t="s">
        <v>281</v>
      </c>
      <c r="C121" s="20">
        <f>IF(C31="N",0,30%)</f>
        <v>0</v>
      </c>
    </row>
    <row r="122" s="4" customFormat="1" ht="12.75">
      <c r="D122" s="4" t="s">
        <v>144</v>
      </c>
    </row>
    <row r="123" spans="4:6" s="4" customFormat="1" ht="12.75">
      <c r="D123" s="4" t="s">
        <v>143</v>
      </c>
      <c r="E123" s="26" t="s">
        <v>143</v>
      </c>
      <c r="F123" s="30"/>
    </row>
    <row r="124" spans="2:6" s="4" customFormat="1" ht="12.75">
      <c r="B124" s="16" t="s">
        <v>91</v>
      </c>
      <c r="C124" s="14">
        <f>+E124</f>
        <v>0</v>
      </c>
      <c r="D124" s="14">
        <f>+C80-C64-IF(C31="C",IF(C32="N",0,IF(C32="Y",C98+C105,0)))</f>
        <v>28999.425</v>
      </c>
      <c r="E124" s="14">
        <f>C121*D124</f>
        <v>0</v>
      </c>
      <c r="F124" s="14"/>
    </row>
    <row r="125" ht="12.75">
      <c r="A125" s="34" t="s">
        <v>145</v>
      </c>
    </row>
    <row r="126" spans="2:5" ht="12.75">
      <c r="B126" s="16" t="s">
        <v>266</v>
      </c>
      <c r="C126" s="58">
        <f>IF($C$31="C",IF(C32="n",1,0),0)</f>
        <v>0</v>
      </c>
      <c r="D126" s="4" t="s">
        <v>305</v>
      </c>
      <c r="E126" s="4"/>
    </row>
    <row r="127" spans="1:8" ht="12.75">
      <c r="A127" s="9"/>
      <c r="B127" s="24" t="s">
        <v>284</v>
      </c>
      <c r="C127" s="10">
        <f>C80-(0.5*C124)-C64</f>
        <v>28999.425</v>
      </c>
      <c r="D127" s="9"/>
      <c r="E127" s="9"/>
      <c r="F127" s="9"/>
      <c r="G127" s="9"/>
      <c r="H127" s="9"/>
    </row>
    <row r="128" spans="2:4" ht="12.75">
      <c r="B128" s="15"/>
      <c r="C128" s="103"/>
      <c r="D128" s="4"/>
    </row>
    <row r="129" spans="1:3" ht="12.75">
      <c r="A129" s="13" t="s">
        <v>285</v>
      </c>
      <c r="C129" s="112"/>
    </row>
    <row r="130" spans="2:35" ht="12.75">
      <c r="B130" s="15" t="s">
        <v>282</v>
      </c>
      <c r="C130">
        <v>0</v>
      </c>
      <c r="D130">
        <v>1</v>
      </c>
      <c r="E130">
        <v>2</v>
      </c>
      <c r="F130">
        <v>3</v>
      </c>
      <c r="G130">
        <v>4</v>
      </c>
      <c r="H130">
        <v>5</v>
      </c>
      <c r="I130">
        <v>6</v>
      </c>
      <c r="J130">
        <v>7</v>
      </c>
      <c r="K130">
        <v>8</v>
      </c>
      <c r="L130">
        <v>9</v>
      </c>
      <c r="M130">
        <v>10</v>
      </c>
      <c r="N130">
        <v>11</v>
      </c>
      <c r="O130">
        <v>12</v>
      </c>
      <c r="P130">
        <v>13</v>
      </c>
      <c r="Q130">
        <v>14</v>
      </c>
      <c r="R130">
        <v>15</v>
      </c>
      <c r="S130">
        <v>16</v>
      </c>
      <c r="T130">
        <v>17</v>
      </c>
      <c r="U130">
        <v>18</v>
      </c>
      <c r="V130">
        <v>19</v>
      </c>
      <c r="W130">
        <v>20</v>
      </c>
      <c r="X130">
        <v>21</v>
      </c>
      <c r="Y130">
        <v>22</v>
      </c>
      <c r="Z130">
        <v>23</v>
      </c>
      <c r="AA130">
        <v>24</v>
      </c>
      <c r="AB130">
        <v>25</v>
      </c>
      <c r="AC130">
        <v>26</v>
      </c>
      <c r="AD130">
        <v>27</v>
      </c>
      <c r="AE130">
        <v>28</v>
      </c>
      <c r="AF130">
        <v>29</v>
      </c>
      <c r="AG130">
        <v>30</v>
      </c>
      <c r="AI130" t="s">
        <v>9</v>
      </c>
    </row>
    <row r="131" spans="2:35" ht="12.75">
      <c r="B131" s="15" t="s">
        <v>287</v>
      </c>
      <c r="C131" s="2">
        <f>-C80</f>
        <v>-28999.425</v>
      </c>
      <c r="E131" s="2"/>
      <c r="F131" s="2"/>
      <c r="G131" s="2"/>
      <c r="H131" s="2"/>
      <c r="I131" s="2"/>
      <c r="J131" s="2"/>
      <c r="AI131" s="3">
        <f>SUM(C131:AH131)</f>
        <v>-28999.425</v>
      </c>
    </row>
    <row r="132" spans="2:35" ht="12.75">
      <c r="B132" s="15" t="s">
        <v>105</v>
      </c>
      <c r="C132" s="2">
        <f>($C$67+$C$68)*$C$131/2</f>
        <v>0</v>
      </c>
      <c r="D132" s="2">
        <f>($C$67+$C$68)*$C$131*(1+(C69/2))</f>
        <v>0</v>
      </c>
      <c r="E132" s="2">
        <f>D132*(1+$C$69)</f>
        <v>0</v>
      </c>
      <c r="F132" s="2">
        <f aca="true" t="shared" si="0" ref="F132:AG132">E132*(1+$C$69)</f>
        <v>0</v>
      </c>
      <c r="G132" s="2">
        <f t="shared" si="0"/>
        <v>0</v>
      </c>
      <c r="H132" s="2">
        <f t="shared" si="0"/>
        <v>0</v>
      </c>
      <c r="I132" s="2">
        <f t="shared" si="0"/>
        <v>0</v>
      </c>
      <c r="J132" s="2">
        <f t="shared" si="0"/>
        <v>0</v>
      </c>
      <c r="K132" s="2">
        <f t="shared" si="0"/>
        <v>0</v>
      </c>
      <c r="L132" s="2">
        <f t="shared" si="0"/>
        <v>0</v>
      </c>
      <c r="M132" s="2">
        <f t="shared" si="0"/>
        <v>0</v>
      </c>
      <c r="N132" s="2">
        <f t="shared" si="0"/>
        <v>0</v>
      </c>
      <c r="O132" s="2">
        <v>3000</v>
      </c>
      <c r="P132" s="2"/>
      <c r="Q132" s="2"/>
      <c r="R132" s="2"/>
      <c r="S132" s="2"/>
      <c r="T132" s="2">
        <f t="shared" si="0"/>
        <v>0</v>
      </c>
      <c r="U132" s="2">
        <f t="shared" si="0"/>
        <v>0</v>
      </c>
      <c r="V132" s="2">
        <f t="shared" si="0"/>
        <v>0</v>
      </c>
      <c r="W132" s="2">
        <f t="shared" si="0"/>
        <v>0</v>
      </c>
      <c r="X132" s="2">
        <f t="shared" si="0"/>
        <v>0</v>
      </c>
      <c r="Y132" s="2">
        <f t="shared" si="0"/>
        <v>0</v>
      </c>
      <c r="Z132" s="2">
        <f t="shared" si="0"/>
        <v>0</v>
      </c>
      <c r="AA132" s="2">
        <f t="shared" si="0"/>
        <v>0</v>
      </c>
      <c r="AB132" s="2">
        <f t="shared" si="0"/>
        <v>0</v>
      </c>
      <c r="AC132" s="2">
        <f t="shared" si="0"/>
        <v>0</v>
      </c>
      <c r="AD132" s="2">
        <f t="shared" si="0"/>
        <v>0</v>
      </c>
      <c r="AE132" s="2">
        <f t="shared" si="0"/>
        <v>0</v>
      </c>
      <c r="AF132" s="2">
        <f t="shared" si="0"/>
        <v>0</v>
      </c>
      <c r="AG132" s="2">
        <f t="shared" si="0"/>
        <v>0</v>
      </c>
      <c r="AH132" s="2"/>
      <c r="AI132" s="3"/>
    </row>
    <row r="133" spans="2:35" ht="12.75">
      <c r="B133" s="15" t="s">
        <v>283</v>
      </c>
      <c r="C133" s="2">
        <f>C124/2</f>
        <v>0</v>
      </c>
      <c r="D133" s="2">
        <f>C124/2</f>
        <v>0</v>
      </c>
      <c r="E133" s="2"/>
      <c r="F133" s="2"/>
      <c r="G133" s="2"/>
      <c r="H133" s="2"/>
      <c r="I133" s="2"/>
      <c r="J133" s="2"/>
      <c r="AI133" s="3">
        <f aca="true" t="shared" si="1" ref="AI133:AI141">SUM(C133:AH133)</f>
        <v>0</v>
      </c>
    </row>
    <row r="134" spans="2:35" ht="12.75">
      <c r="B134" s="15" t="s">
        <v>71</v>
      </c>
      <c r="C134" s="2">
        <f>C98/2</f>
        <v>1500</v>
      </c>
      <c r="D134" s="2">
        <f>C98/2</f>
        <v>1500</v>
      </c>
      <c r="E134" s="2"/>
      <c r="F134" s="2"/>
      <c r="G134" s="2"/>
      <c r="H134" s="2"/>
      <c r="I134" s="2"/>
      <c r="J134" s="2"/>
      <c r="AI134" s="3">
        <f t="shared" si="1"/>
        <v>3000</v>
      </c>
    </row>
    <row r="135" spans="2:35" ht="12.75">
      <c r="B135" s="93" t="s">
        <v>171</v>
      </c>
      <c r="C135" s="2">
        <f>+C109/2</f>
        <v>0</v>
      </c>
      <c r="D135" s="2">
        <f>+C109/2</f>
        <v>0</v>
      </c>
      <c r="E135" s="2"/>
      <c r="F135" s="2"/>
      <c r="G135" s="2"/>
      <c r="H135" s="2"/>
      <c r="I135" s="2"/>
      <c r="J135" s="2"/>
      <c r="AI135" s="3">
        <f t="shared" si="1"/>
        <v>0</v>
      </c>
    </row>
    <row r="136" spans="2:35" ht="12.75">
      <c r="B136" s="93" t="s">
        <v>53</v>
      </c>
      <c r="C136" s="2">
        <f>$C$112/2</f>
        <v>1500</v>
      </c>
      <c r="D136" s="2">
        <f>$C$112/2</f>
        <v>1500</v>
      </c>
      <c r="E136" s="2"/>
      <c r="F136" s="2"/>
      <c r="G136" s="2"/>
      <c r="H136" s="2"/>
      <c r="I136" s="2"/>
      <c r="J136" s="2"/>
      <c r="AI136" s="3">
        <f t="shared" si="1"/>
        <v>3000</v>
      </c>
    </row>
    <row r="137" spans="2:35" ht="12.75">
      <c r="B137" s="93" t="s">
        <v>54</v>
      </c>
      <c r="C137" s="2">
        <f>$C$105/2</f>
        <v>0</v>
      </c>
      <c r="D137" s="2">
        <f>$C$105/2</f>
        <v>0</v>
      </c>
      <c r="E137" s="2"/>
      <c r="F137" s="2"/>
      <c r="G137" s="2"/>
      <c r="H137" s="2"/>
      <c r="I137" s="2"/>
      <c r="J137" s="2"/>
      <c r="AI137" s="3">
        <f t="shared" si="1"/>
        <v>0</v>
      </c>
    </row>
    <row r="138" spans="2:35" ht="12.75">
      <c r="B138" s="93" t="s">
        <v>116</v>
      </c>
      <c r="C138" s="36">
        <f>C114/2</f>
        <v>0</v>
      </c>
      <c r="D138" s="36">
        <f>C138</f>
        <v>0</v>
      </c>
      <c r="AI138" s="3">
        <f t="shared" si="1"/>
        <v>0</v>
      </c>
    </row>
    <row r="139" spans="2:35" ht="12.75">
      <c r="B139" s="93" t="s">
        <v>172</v>
      </c>
      <c r="C139" s="2">
        <f>+C64/2</f>
        <v>0</v>
      </c>
      <c r="D139" s="2">
        <f>+C64/2</f>
        <v>0</v>
      </c>
      <c r="E139" s="2"/>
      <c r="F139" s="2"/>
      <c r="G139" s="2"/>
      <c r="H139" s="2"/>
      <c r="I139" s="2"/>
      <c r="J139" s="2"/>
      <c r="AI139" s="3">
        <f t="shared" si="1"/>
        <v>0</v>
      </c>
    </row>
    <row r="140" spans="2:35" ht="12.75">
      <c r="B140" s="93" t="s">
        <v>59</v>
      </c>
      <c r="C140" s="3">
        <f>+D140</f>
        <v>0</v>
      </c>
      <c r="D140" s="117">
        <f>-IF($C$31="C",IF($C$32="N",((D134+D137)*($C$48+$C$49))),0)</f>
        <v>0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AI140" s="3">
        <f t="shared" si="1"/>
        <v>0</v>
      </c>
    </row>
    <row r="141" spans="2:35" ht="12.75">
      <c r="B141" s="93" t="s">
        <v>173</v>
      </c>
      <c r="C141" s="2">
        <f>+C65/2</f>
        <v>0</v>
      </c>
      <c r="D141" s="2">
        <f>+C65/2</f>
        <v>0</v>
      </c>
      <c r="E141" s="2"/>
      <c r="F141" s="2"/>
      <c r="G141" s="2"/>
      <c r="H141" s="2"/>
      <c r="I141" s="2"/>
      <c r="J141" s="2"/>
      <c r="AI141" s="3">
        <f t="shared" si="1"/>
        <v>0</v>
      </c>
    </row>
    <row r="142" spans="2:35" ht="12.75">
      <c r="B142" s="193" t="s">
        <v>56</v>
      </c>
      <c r="C142" s="2">
        <f>SUM(C133:C141)</f>
        <v>3000</v>
      </c>
      <c r="D142" s="2">
        <f>SUM(D133:D141)</f>
        <v>3000</v>
      </c>
      <c r="E142" s="2"/>
      <c r="F142" s="2"/>
      <c r="G142" s="2"/>
      <c r="H142" s="2"/>
      <c r="I142" s="2"/>
      <c r="J142" s="2"/>
      <c r="AI142" s="3"/>
    </row>
    <row r="143" spans="2:35" ht="12.75">
      <c r="B143" s="16" t="s">
        <v>295</v>
      </c>
      <c r="C143" s="3"/>
      <c r="D143" s="5">
        <f>IF($C$126=1,$C$127*Depreciation!C16*($C$48+$C$49),0)</f>
        <v>0</v>
      </c>
      <c r="E143" s="5">
        <f>IF($C$126=1,$C$127*Depreciation!D16*($C$48+$C$49),0)</f>
        <v>0</v>
      </c>
      <c r="F143" s="5">
        <f>IF($C$126=1,$C$127*Depreciation!E16*($C$48+$C$49),0)</f>
        <v>0</v>
      </c>
      <c r="G143" s="5">
        <f>IF($C$126=1,$C$127*Depreciation!F16*($C$48+$C$49),0)</f>
        <v>0</v>
      </c>
      <c r="H143" s="5">
        <f>IF($C$126=1,$C$127*Depreciation!G16*($C$48+$C$49),0)</f>
        <v>0</v>
      </c>
      <c r="I143" s="5">
        <f>IF($C$126=1,$C$127*Depreciation!H16*($C$48+$C$49),0)</f>
        <v>0</v>
      </c>
      <c r="J143" s="5">
        <f>IF($C$126=1,$C$127*Depreciation!I16*($C$48+$C$49),0)</f>
        <v>0</v>
      </c>
      <c r="K143" s="5">
        <f>IF($C$126=1,$C$127*Depreciation!J16*($C$48+$C$49),0)</f>
        <v>0</v>
      </c>
      <c r="L143" s="5">
        <f>IF($C$126=1,$C$127*Depreciation!K16*($C$48+$C$49),0)</f>
        <v>0</v>
      </c>
      <c r="M143" s="5">
        <f>IF($C$126=1,$C$127*Depreciation!L16*($C$48+$C$49),0)</f>
        <v>0</v>
      </c>
      <c r="N143" s="5">
        <f>IF($C$126=1,$C$127*Depreciation!M16*($C$48+$C$49),0)</f>
        <v>0</v>
      </c>
      <c r="AI143" s="3">
        <f>SUM(C143:AH143)</f>
        <v>0</v>
      </c>
    </row>
    <row r="144" spans="2:35" ht="12.75">
      <c r="B144" s="15" t="s">
        <v>177</v>
      </c>
      <c r="D144" s="2">
        <f>IF(C42="Y",-12*C45,0)</f>
        <v>0</v>
      </c>
      <c r="E144" s="2">
        <f aca="true" t="shared" si="2" ref="E144:M144">+D144</f>
        <v>0</v>
      </c>
      <c r="F144" s="2">
        <f t="shared" si="2"/>
        <v>0</v>
      </c>
      <c r="G144" s="2">
        <f t="shared" si="2"/>
        <v>0</v>
      </c>
      <c r="H144" s="2">
        <f t="shared" si="2"/>
        <v>0</v>
      </c>
      <c r="I144" s="2">
        <f t="shared" si="2"/>
        <v>0</v>
      </c>
      <c r="J144" s="2">
        <f t="shared" si="2"/>
        <v>0</v>
      </c>
      <c r="K144" s="2">
        <f t="shared" si="2"/>
        <v>0</v>
      </c>
      <c r="L144" s="2">
        <f t="shared" si="2"/>
        <v>0</v>
      </c>
      <c r="M144" s="2">
        <f t="shared" si="2"/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AI144" s="3">
        <f>SUM(C144:AH144)</f>
        <v>0</v>
      </c>
    </row>
    <row r="145" spans="2:23" ht="12.75">
      <c r="B145" s="93" t="s">
        <v>88</v>
      </c>
      <c r="C145" s="3">
        <f>-IF(C42="Y",$C$46,0)</f>
        <v>0</v>
      </c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35" ht="12.75">
      <c r="B146" s="15" t="s">
        <v>237</v>
      </c>
      <c r="D146" s="2">
        <f>'Rates kWh and kW'!B42*'Rates kWh and kW'!B15</f>
        <v>721.3199999999999</v>
      </c>
      <c r="E146" s="2">
        <f>'Rates kWh and kW'!C42*'Rates kWh and kW'!C15</f>
        <v>767.953338</v>
      </c>
      <c r="F146" s="2">
        <f>'Rates kWh and kW'!D42*'Rates kWh and kW'!D15</f>
        <v>817.6015213017</v>
      </c>
      <c r="G146" s="2">
        <f>'Rates kWh and kW'!E42*'Rates kWh and kW'!E15</f>
        <v>870.459459653855</v>
      </c>
      <c r="H146" s="2">
        <f>'Rates kWh and kW'!F42*'Rates kWh and kW'!F15</f>
        <v>926.7346637204768</v>
      </c>
      <c r="I146" s="2">
        <f>'Rates kWh and kW'!G42*'Rates kWh and kW'!G15</f>
        <v>986.6480597300057</v>
      </c>
      <c r="J146" s="2">
        <f>'Rates kWh and kW'!H42*'Rates kWh and kW'!H15</f>
        <v>1050.4348567915506</v>
      </c>
      <c r="K146" s="2">
        <f>'Rates kWh and kW'!I42*'Rates kWh and kW'!I15</f>
        <v>1118.3454702831245</v>
      </c>
      <c r="L146" s="2">
        <f>'Rates kWh and kW'!J42*'Rates kWh and kW'!J15</f>
        <v>1190.6465049369285</v>
      </c>
      <c r="M146" s="2">
        <f>'Rates kWh and kW'!K42*'Rates kWh and kW'!K15</f>
        <v>1267.621801481101</v>
      </c>
      <c r="N146" s="2">
        <f>'Rates kWh and kW'!L42*'Rates kWh and kW'!L15</f>
        <v>1349.5735509468543</v>
      </c>
      <c r="O146" s="2">
        <f>'Rates kWh and kW'!M42*'Rates kWh and kW'!M15</f>
        <v>1436.8234810155684</v>
      </c>
      <c r="P146" s="2">
        <f>'Rates kWh and kW'!N42*'Rates kWh and kW'!N15</f>
        <v>1529.714119063225</v>
      </c>
      <c r="Q146" s="2">
        <f>'Rates kWh and kW'!O42*'Rates kWh and kW'!O15</f>
        <v>1628.6101368606628</v>
      </c>
      <c r="R146" s="2">
        <f>'Rates kWh and kW'!P42*'Rates kWh and kW'!P15</f>
        <v>1733.8997822087047</v>
      </c>
      <c r="S146" s="2">
        <f>'Rates kWh and kW'!Q42*'Rates kWh and kW'!Q15</f>
        <v>1845.9964031284974</v>
      </c>
      <c r="T146" s="2">
        <f>'Rates kWh and kW'!R42*'Rates kWh and kW'!R15</f>
        <v>1965.340070590755</v>
      </c>
      <c r="U146" s="2">
        <f>'Rates kWh and kW'!S42*'Rates kWh and kW'!S15</f>
        <v>2092.3993061544475</v>
      </c>
      <c r="V146" s="2">
        <f>'Rates kWh and kW'!T42*'Rates kWh and kW'!T15</f>
        <v>2227.6729212973323</v>
      </c>
      <c r="W146" s="2">
        <f>'Rates kWh and kW'!U42*'Rates kWh and kW'!U15</f>
        <v>2371.691975659205</v>
      </c>
      <c r="X146" s="2">
        <f>'Rates kWh and kW'!V42*'Rates kWh and kW'!V15</f>
        <v>2525.021861885573</v>
      </c>
      <c r="Y146" s="2">
        <f>'Rates kWh and kW'!W42*'Rates kWh and kW'!W15</f>
        <v>2688.2645252564753</v>
      </c>
      <c r="Z146" s="2">
        <f>'Rates kWh and kW'!X42*'Rates kWh and kW'!X15</f>
        <v>2862.060826814306</v>
      </c>
      <c r="AA146" s="2">
        <f>'Rates kWh and kW'!Y42*'Rates kWh and kW'!Y15</f>
        <v>3047.0930592678515</v>
      </c>
      <c r="AB146" s="2">
        <f>'Rates kWh and kW'!Z42*'Rates kWh and kW'!Z15</f>
        <v>3244.087625549518</v>
      </c>
      <c r="AC146" s="2">
        <f>'Rates kWh and kW'!AA42*'Rates kWh and kW'!AA15</f>
        <v>3453.817890541295</v>
      </c>
      <c r="AD146" s="2">
        <f>'Rates kWh and kW'!AB42*'Rates kWh and kW'!AB15</f>
        <v>3677.1072171647897</v>
      </c>
      <c r="AE146" s="2">
        <f>'Rates kWh and kW'!AC42*'Rates kWh and kW'!AC15</f>
        <v>3914.832198754493</v>
      </c>
      <c r="AF146" s="2">
        <f>'Rates kWh and kW'!AD42*'Rates kWh and kW'!AD15</f>
        <v>4167.926100403971</v>
      </c>
      <c r="AG146" s="2">
        <f>'Rates kWh and kW'!AE42*'Rates kWh and kW'!AE15</f>
        <v>4437.382522795087</v>
      </c>
      <c r="AI146" s="3"/>
    </row>
    <row r="147" spans="2:35" ht="12.75">
      <c r="B147" s="15" t="s">
        <v>238</v>
      </c>
      <c r="D147" s="2">
        <f>($C$25*$C$38*'Rates kWh and kW'!B28*12)+($C$25*'Rates kWh and kW'!B29*Main!$C$39*12)</f>
        <v>0</v>
      </c>
      <c r="E147" s="2">
        <f>($C$25*$C$38*'Rates kWh and kW'!C28*12)+($C$25*'Rates kWh and kW'!C29*Main!$C$39*12)</f>
        <v>0</v>
      </c>
      <c r="F147" s="2">
        <f>($C$25*$C$38*'Rates kWh and kW'!D28*12)+($C$25*'Rates kWh and kW'!D29*Main!$C$39*12)</f>
        <v>0</v>
      </c>
      <c r="G147" s="2">
        <f>($C$25*$C$38*'Rates kWh and kW'!E28*12)+($C$25*'Rates kWh and kW'!E29*Main!$C$39*12)</f>
        <v>0</v>
      </c>
      <c r="H147" s="2">
        <f>($C$25*$C$38*'Rates kWh and kW'!F28*12)+($C$25*'Rates kWh and kW'!F29*Main!$C$39*12)</f>
        <v>0</v>
      </c>
      <c r="I147" s="2">
        <f>($C$25*$C$38*'Rates kWh and kW'!G28*12)+($C$25*'Rates kWh and kW'!G29*Main!$C$39*12)</f>
        <v>0</v>
      </c>
      <c r="J147" s="2">
        <f>($C$25*$C$38*'Rates kWh and kW'!H28*12)+($C$25*'Rates kWh and kW'!H29*Main!$C$39*12)</f>
        <v>0</v>
      </c>
      <c r="K147" s="2">
        <f>($C$25*$C$38*'Rates kWh and kW'!I28*12)+($C$25*'Rates kWh and kW'!I29*Main!$C$39*12)</f>
        <v>0</v>
      </c>
      <c r="L147" s="2">
        <f>($C$25*$C$38*'Rates kWh and kW'!J28*12)+($C$25*'Rates kWh and kW'!J29*Main!$C$39*12)</f>
        <v>0</v>
      </c>
      <c r="M147" s="2">
        <f>($C$25*$C$38*'Rates kWh and kW'!K28*12)+($C$25*'Rates kWh and kW'!K29*Main!$C$39*12)</f>
        <v>0</v>
      </c>
      <c r="N147" s="2">
        <f>($C$25*$C$38*'Rates kWh and kW'!L28*12)+($C$25*'Rates kWh and kW'!L29*Main!$C$39*12)</f>
        <v>0</v>
      </c>
      <c r="O147" s="2">
        <f>($C$25*$C$38*'Rates kWh and kW'!M28*12)+($C$25*'Rates kWh and kW'!M29*Main!$C$39*12)</f>
        <v>0</v>
      </c>
      <c r="P147" s="2">
        <f>($C$25*$C$38*'Rates kWh and kW'!N28*12)+($C$25*'Rates kWh and kW'!N29*Main!$C$39*12)</f>
        <v>0</v>
      </c>
      <c r="Q147" s="2">
        <f>($C$25*$C$38*'Rates kWh and kW'!O28*12)+($C$25*'Rates kWh and kW'!O29*Main!$C$39*12)</f>
        <v>0</v>
      </c>
      <c r="R147" s="2">
        <f>($C$25*$C$38*'Rates kWh and kW'!P28*12)+($C$25*'Rates kWh and kW'!P29*Main!$C$39*12)</f>
        <v>0</v>
      </c>
      <c r="S147" s="2">
        <f>($C$25*$C$38*'Rates kWh and kW'!Q28*12)+($C$25*'Rates kWh and kW'!Q29*Main!$C$39*12)</f>
        <v>0</v>
      </c>
      <c r="T147" s="2">
        <f>($C$25*$C$38*'Rates kWh and kW'!R28*12)+($C$25*'Rates kWh and kW'!R29*Main!$C$39*12)</f>
        <v>0</v>
      </c>
      <c r="U147" s="2">
        <f>($C$25*$C$38*'Rates kWh and kW'!S28*12)+($C$25*'Rates kWh and kW'!S29*Main!$C$39*12)</f>
        <v>0</v>
      </c>
      <c r="V147" s="2">
        <f>($C$25*$C$38*'Rates kWh and kW'!T28*12)+($C$25*'Rates kWh and kW'!T29*Main!$C$39*12)</f>
        <v>0</v>
      </c>
      <c r="W147" s="2">
        <f>($C$25*$C$38*'Rates kWh and kW'!U28*12)+($C$25*'Rates kWh and kW'!U29*Main!$C$39*12)</f>
        <v>0</v>
      </c>
      <c r="X147" s="2">
        <f>($C$25*$C$38*'Rates kWh and kW'!V28*12)+($C$25*'Rates kWh and kW'!V29*Main!$C$39*12)</f>
        <v>0</v>
      </c>
      <c r="Y147" s="2">
        <f>($C$25*$C$38*'Rates kWh and kW'!W28*12)+($C$25*'Rates kWh and kW'!W29*Main!$C$39*12)</f>
        <v>0</v>
      </c>
      <c r="Z147" s="2">
        <f>($C$25*$C$38*'Rates kWh and kW'!X28*12)+($C$25*'Rates kWh and kW'!X29*Main!$C$39*12)</f>
        <v>0</v>
      </c>
      <c r="AA147" s="2">
        <f>($C$25*$C$38*'Rates kWh and kW'!Y28*12)+($C$25*'Rates kWh and kW'!Y29*Main!$C$39*12)</f>
        <v>0</v>
      </c>
      <c r="AB147" s="2">
        <f>($C$25*$C$38*'Rates kWh and kW'!Z28*12)+($C$25*'Rates kWh and kW'!Z29*Main!$C$39*12)</f>
        <v>0</v>
      </c>
      <c r="AC147" s="2">
        <f>($C$25*$C$38*'Rates kWh and kW'!AA28*12)+($C$25*'Rates kWh and kW'!AA29*Main!$C$39*12)</f>
        <v>0</v>
      </c>
      <c r="AD147" s="2">
        <f>($C$25*$C$38*'Rates kWh and kW'!AB28*12)+($C$25*'Rates kWh and kW'!AB29*Main!$C$39*12)</f>
        <v>0</v>
      </c>
      <c r="AE147" s="2">
        <f>($C$25*$C$38*'Rates kWh and kW'!AC28*12)+($C$25*'Rates kWh and kW'!AC29*Main!$C$39*12)</f>
        <v>0</v>
      </c>
      <c r="AF147" s="2">
        <f>($C$25*$C$38*'Rates kWh and kW'!AD28*12)+($C$25*'Rates kWh and kW'!AD29*Main!$C$39*12)</f>
        <v>0</v>
      </c>
      <c r="AG147" s="2">
        <f>($C$25*$C$38*'Rates kWh and kW'!AE28*12)+($C$25*'Rates kWh and kW'!AE29*Main!$C$39*12)</f>
        <v>0</v>
      </c>
      <c r="AI147" s="3">
        <f>SUM(C147:AH147)</f>
        <v>0</v>
      </c>
    </row>
    <row r="148" spans="2:33" ht="12.75">
      <c r="B148" s="15" t="s">
        <v>134</v>
      </c>
      <c r="D148" s="2">
        <f aca="true" t="shared" si="3" ref="D148:AG148">IF($C$54="N",-D146*($C$48+$C$49),0)</f>
        <v>0</v>
      </c>
      <c r="E148" s="2">
        <f t="shared" si="3"/>
        <v>0</v>
      </c>
      <c r="F148" s="2">
        <f t="shared" si="3"/>
        <v>0</v>
      </c>
      <c r="G148" s="2">
        <f t="shared" si="3"/>
        <v>0</v>
      </c>
      <c r="H148" s="2">
        <f t="shared" si="3"/>
        <v>0</v>
      </c>
      <c r="I148" s="2">
        <f t="shared" si="3"/>
        <v>0</v>
      </c>
      <c r="J148" s="2">
        <f t="shared" si="3"/>
        <v>0</v>
      </c>
      <c r="K148" s="2">
        <f t="shared" si="3"/>
        <v>0</v>
      </c>
      <c r="L148" s="2">
        <f t="shared" si="3"/>
        <v>0</v>
      </c>
      <c r="M148" s="2">
        <f t="shared" si="3"/>
        <v>0</v>
      </c>
      <c r="N148" s="2">
        <f t="shared" si="3"/>
        <v>0</v>
      </c>
      <c r="O148" s="2">
        <f t="shared" si="3"/>
        <v>0</v>
      </c>
      <c r="P148" s="2">
        <f t="shared" si="3"/>
        <v>0</v>
      </c>
      <c r="Q148" s="2">
        <f t="shared" si="3"/>
        <v>0</v>
      </c>
      <c r="R148" s="2">
        <f t="shared" si="3"/>
        <v>0</v>
      </c>
      <c r="S148" s="2">
        <f t="shared" si="3"/>
        <v>0</v>
      </c>
      <c r="T148" s="2">
        <f t="shared" si="3"/>
        <v>0</v>
      </c>
      <c r="U148" s="2">
        <f t="shared" si="3"/>
        <v>0</v>
      </c>
      <c r="V148" s="2">
        <f t="shared" si="3"/>
        <v>0</v>
      </c>
      <c r="W148" s="2">
        <f t="shared" si="3"/>
        <v>0</v>
      </c>
      <c r="X148" s="2">
        <f t="shared" si="3"/>
        <v>0</v>
      </c>
      <c r="Y148" s="2">
        <f t="shared" si="3"/>
        <v>0</v>
      </c>
      <c r="Z148" s="2">
        <f t="shared" si="3"/>
        <v>0</v>
      </c>
      <c r="AA148" s="2">
        <f t="shared" si="3"/>
        <v>0</v>
      </c>
      <c r="AB148" s="2">
        <f t="shared" si="3"/>
        <v>0</v>
      </c>
      <c r="AC148" s="2">
        <f t="shared" si="3"/>
        <v>0</v>
      </c>
      <c r="AD148" s="2">
        <f t="shared" si="3"/>
        <v>0</v>
      </c>
      <c r="AE148" s="2">
        <f t="shared" si="3"/>
        <v>0</v>
      </c>
      <c r="AF148" s="2">
        <f t="shared" si="3"/>
        <v>0</v>
      </c>
      <c r="AG148" s="2">
        <f t="shared" si="3"/>
        <v>0</v>
      </c>
    </row>
    <row r="149" spans="1:33" ht="12.75">
      <c r="A149" s="103"/>
      <c r="B149" s="15" t="s">
        <v>135</v>
      </c>
      <c r="D149" s="2">
        <f aca="true" t="shared" si="4" ref="D149:AG149">IF($C$54="N",-D147*($C$48+$C$49),0)</f>
        <v>0</v>
      </c>
      <c r="E149" s="2">
        <f t="shared" si="4"/>
        <v>0</v>
      </c>
      <c r="F149" s="2">
        <f t="shared" si="4"/>
        <v>0</v>
      </c>
      <c r="G149" s="2">
        <f t="shared" si="4"/>
        <v>0</v>
      </c>
      <c r="H149" s="2">
        <f t="shared" si="4"/>
        <v>0</v>
      </c>
      <c r="I149" s="2">
        <f t="shared" si="4"/>
        <v>0</v>
      </c>
      <c r="J149" s="2">
        <f t="shared" si="4"/>
        <v>0</v>
      </c>
      <c r="K149" s="2">
        <f t="shared" si="4"/>
        <v>0</v>
      </c>
      <c r="L149" s="2">
        <f t="shared" si="4"/>
        <v>0</v>
      </c>
      <c r="M149" s="2">
        <f t="shared" si="4"/>
        <v>0</v>
      </c>
      <c r="N149" s="2">
        <f t="shared" si="4"/>
        <v>0</v>
      </c>
      <c r="O149" s="2">
        <f t="shared" si="4"/>
        <v>0</v>
      </c>
      <c r="P149" s="2">
        <f t="shared" si="4"/>
        <v>0</v>
      </c>
      <c r="Q149" s="2">
        <f t="shared" si="4"/>
        <v>0</v>
      </c>
      <c r="R149" s="2">
        <f t="shared" si="4"/>
        <v>0</v>
      </c>
      <c r="S149" s="2">
        <f t="shared" si="4"/>
        <v>0</v>
      </c>
      <c r="T149" s="2">
        <f t="shared" si="4"/>
        <v>0</v>
      </c>
      <c r="U149" s="2">
        <f t="shared" si="4"/>
        <v>0</v>
      </c>
      <c r="V149" s="2">
        <f t="shared" si="4"/>
        <v>0</v>
      </c>
      <c r="W149" s="2">
        <f t="shared" si="4"/>
        <v>0</v>
      </c>
      <c r="X149" s="2">
        <f t="shared" si="4"/>
        <v>0</v>
      </c>
      <c r="Y149" s="2">
        <f t="shared" si="4"/>
        <v>0</v>
      </c>
      <c r="Z149" s="2">
        <f t="shared" si="4"/>
        <v>0</v>
      </c>
      <c r="AA149" s="2">
        <f t="shared" si="4"/>
        <v>0</v>
      </c>
      <c r="AB149" s="2">
        <f t="shared" si="4"/>
        <v>0</v>
      </c>
      <c r="AC149" s="2">
        <f t="shared" si="4"/>
        <v>0</v>
      </c>
      <c r="AD149" s="2">
        <f t="shared" si="4"/>
        <v>0</v>
      </c>
      <c r="AE149" s="2">
        <f t="shared" si="4"/>
        <v>0</v>
      </c>
      <c r="AF149" s="2">
        <f t="shared" si="4"/>
        <v>0</v>
      </c>
      <c r="AG149" s="2">
        <f t="shared" si="4"/>
        <v>0</v>
      </c>
    </row>
    <row r="150" spans="2:33" ht="12.75">
      <c r="B150" s="15" t="s">
        <v>296</v>
      </c>
      <c r="C150" s="3">
        <f>SUM(C131:C149)-C142</f>
        <v>-25999.425</v>
      </c>
      <c r="D150" s="3">
        <f>SUM(D131:D149)-D142</f>
        <v>3721.3199999999997</v>
      </c>
      <c r="E150" s="3">
        <f aca="true" t="shared" si="5" ref="E150:AG150">SUM(E131:E149)</f>
        <v>767.953338</v>
      </c>
      <c r="F150" s="3">
        <f t="shared" si="5"/>
        <v>817.6015213017</v>
      </c>
      <c r="G150" s="3">
        <f t="shared" si="5"/>
        <v>870.459459653855</v>
      </c>
      <c r="H150" s="3">
        <f t="shared" si="5"/>
        <v>926.7346637204768</v>
      </c>
      <c r="I150" s="3">
        <f t="shared" si="5"/>
        <v>986.6480597300057</v>
      </c>
      <c r="J150" s="3">
        <f t="shared" si="5"/>
        <v>1050.4348567915506</v>
      </c>
      <c r="K150" s="3">
        <f t="shared" si="5"/>
        <v>1118.3454702831245</v>
      </c>
      <c r="L150" s="3">
        <f t="shared" si="5"/>
        <v>1190.6465049369285</v>
      </c>
      <c r="M150" s="3">
        <f t="shared" si="5"/>
        <v>1267.621801481101</v>
      </c>
      <c r="N150" s="3">
        <f t="shared" si="5"/>
        <v>1349.5735509468543</v>
      </c>
      <c r="O150" s="3">
        <f t="shared" si="5"/>
        <v>4436.823481015568</v>
      </c>
      <c r="P150" s="3">
        <f t="shared" si="5"/>
        <v>1529.714119063225</v>
      </c>
      <c r="Q150" s="3">
        <f t="shared" si="5"/>
        <v>1628.6101368606628</v>
      </c>
      <c r="R150" s="3">
        <f t="shared" si="5"/>
        <v>1733.8997822087047</v>
      </c>
      <c r="S150" s="3">
        <f t="shared" si="5"/>
        <v>1845.9964031284974</v>
      </c>
      <c r="T150" s="3">
        <f t="shared" si="5"/>
        <v>1965.340070590755</v>
      </c>
      <c r="U150" s="3">
        <f t="shared" si="5"/>
        <v>2092.3993061544475</v>
      </c>
      <c r="V150" s="3">
        <f t="shared" si="5"/>
        <v>2227.6729212973323</v>
      </c>
      <c r="W150" s="3">
        <f t="shared" si="5"/>
        <v>2371.691975659205</v>
      </c>
      <c r="X150" s="3">
        <f t="shared" si="5"/>
        <v>2525.021861885573</v>
      </c>
      <c r="Y150" s="3">
        <f t="shared" si="5"/>
        <v>2688.2645252564753</v>
      </c>
      <c r="Z150" s="3">
        <f t="shared" si="5"/>
        <v>2862.060826814306</v>
      </c>
      <c r="AA150" s="3">
        <f t="shared" si="5"/>
        <v>3047.0930592678515</v>
      </c>
      <c r="AB150" s="3">
        <f t="shared" si="5"/>
        <v>3244.087625549518</v>
      </c>
      <c r="AC150" s="3">
        <f t="shared" si="5"/>
        <v>3453.817890541295</v>
      </c>
      <c r="AD150" s="3">
        <f t="shared" si="5"/>
        <v>3677.1072171647897</v>
      </c>
      <c r="AE150" s="3">
        <f t="shared" si="5"/>
        <v>3914.832198754493</v>
      </c>
      <c r="AF150" s="3">
        <f t="shared" si="5"/>
        <v>4167.926100403971</v>
      </c>
      <c r="AG150" s="3">
        <f t="shared" si="5"/>
        <v>4437.382522795087</v>
      </c>
    </row>
    <row r="151" spans="2:33" ht="12.75">
      <c r="B151" s="15" t="s">
        <v>335</v>
      </c>
      <c r="C151" s="3">
        <f>+C150</f>
        <v>-25999.425</v>
      </c>
      <c r="D151" s="3">
        <f aca="true" t="shared" si="6" ref="D151:AG151">+D150*(1+$C$75)^-D130</f>
        <v>3510.679245283018</v>
      </c>
      <c r="E151" s="3">
        <f t="shared" si="6"/>
        <v>683.4757369170522</v>
      </c>
      <c r="F151" s="3">
        <f t="shared" si="6"/>
        <v>686.4740031214525</v>
      </c>
      <c r="G151" s="3">
        <f t="shared" si="6"/>
        <v>689.4854220974098</v>
      </c>
      <c r="H151" s="3">
        <f t="shared" si="6"/>
        <v>692.5100515434032</v>
      </c>
      <c r="I151" s="3">
        <f t="shared" si="6"/>
        <v>695.5479494110228</v>
      </c>
      <c r="J151" s="3">
        <f t="shared" si="6"/>
        <v>698.5991739060805</v>
      </c>
      <c r="K151" s="3">
        <f t="shared" si="6"/>
        <v>701.6637834897253</v>
      </c>
      <c r="L151" s="3">
        <f t="shared" si="6"/>
        <v>704.7418368795622</v>
      </c>
      <c r="M151" s="3">
        <f t="shared" si="6"/>
        <v>707.8333930507793</v>
      </c>
      <c r="N151" s="3">
        <f t="shared" si="6"/>
        <v>710.9385112372755</v>
      </c>
      <c r="O151" s="3">
        <f t="shared" si="6"/>
        <v>2204.965341663799</v>
      </c>
      <c r="P151" s="3">
        <f t="shared" si="6"/>
        <v>717.1896718920782</v>
      </c>
      <c r="Q151" s="3">
        <f t="shared" si="6"/>
        <v>720.3358341319822</v>
      </c>
      <c r="R151" s="3">
        <f t="shared" si="6"/>
        <v>723.4957979326554</v>
      </c>
      <c r="S151" s="3">
        <f t="shared" si="6"/>
        <v>726.6696238386809</v>
      </c>
      <c r="T151" s="3">
        <f t="shared" si="6"/>
        <v>729.8573726602373</v>
      </c>
      <c r="U151" s="3">
        <f t="shared" si="6"/>
        <v>733.0591054742658</v>
      </c>
      <c r="V151" s="3">
        <f t="shared" si="6"/>
        <v>736.2748836256386</v>
      </c>
      <c r="W151" s="3">
        <f t="shared" si="6"/>
        <v>739.5047687283361</v>
      </c>
      <c r="X151" s="3">
        <f t="shared" si="6"/>
        <v>742.7488226666254</v>
      </c>
      <c r="Y151" s="3">
        <f t="shared" si="6"/>
        <v>746.0071075962478</v>
      </c>
      <c r="Z151" s="3">
        <f t="shared" si="6"/>
        <v>749.2796859456085</v>
      </c>
      <c r="AA151" s="3">
        <f t="shared" si="6"/>
        <v>752.5666204169739</v>
      </c>
      <c r="AB151" s="3">
        <f t="shared" si="6"/>
        <v>755.867973987671</v>
      </c>
      <c r="AC151" s="3">
        <f t="shared" si="6"/>
        <v>759.1838099112963</v>
      </c>
      <c r="AD151" s="3">
        <f t="shared" si="6"/>
        <v>762.514191718926</v>
      </c>
      <c r="AE151" s="3">
        <f t="shared" si="6"/>
        <v>765.8591832203344</v>
      </c>
      <c r="AF151" s="3">
        <f t="shared" si="6"/>
        <v>769.2188485052159</v>
      </c>
      <c r="AG151" s="3">
        <f t="shared" si="6"/>
        <v>772.5932519444132</v>
      </c>
    </row>
    <row r="152" spans="2:33" ht="12.75">
      <c r="B152" s="15" t="s">
        <v>286</v>
      </c>
      <c r="C152" s="3">
        <f>+C150</f>
        <v>-25999.425</v>
      </c>
      <c r="D152" s="3">
        <f>D150+C152</f>
        <v>-22278.105</v>
      </c>
      <c r="E152" s="3">
        <f aca="true" t="shared" si="7" ref="E152:AG152">E150+D152</f>
        <v>-21510.151662</v>
      </c>
      <c r="F152" s="3">
        <f t="shared" si="7"/>
        <v>-20692.5501406983</v>
      </c>
      <c r="G152" s="3">
        <f t="shared" si="7"/>
        <v>-19822.090681044443</v>
      </c>
      <c r="H152" s="3">
        <f t="shared" si="7"/>
        <v>-18895.356017323968</v>
      </c>
      <c r="I152" s="3">
        <f t="shared" si="7"/>
        <v>-17908.70795759396</v>
      </c>
      <c r="J152" s="3">
        <f t="shared" si="7"/>
        <v>-16858.27310080241</v>
      </c>
      <c r="K152" s="3">
        <f t="shared" si="7"/>
        <v>-15739.927630519285</v>
      </c>
      <c r="L152" s="3">
        <f t="shared" si="7"/>
        <v>-14549.281125582356</v>
      </c>
      <c r="M152" s="3">
        <f t="shared" si="7"/>
        <v>-13281.659324101256</v>
      </c>
      <c r="N152" s="3">
        <f t="shared" si="7"/>
        <v>-11932.085773154402</v>
      </c>
      <c r="O152" s="3">
        <f t="shared" si="7"/>
        <v>-7495.262292138834</v>
      </c>
      <c r="P152" s="3">
        <f t="shared" si="7"/>
        <v>-5965.548173075609</v>
      </c>
      <c r="Q152" s="3">
        <f t="shared" si="7"/>
        <v>-4336.938036214946</v>
      </c>
      <c r="R152" s="3">
        <f t="shared" si="7"/>
        <v>-2603.038254006241</v>
      </c>
      <c r="S152" s="3">
        <f t="shared" si="7"/>
        <v>-757.0418508777436</v>
      </c>
      <c r="T152" s="3">
        <f t="shared" si="7"/>
        <v>1208.2982197130113</v>
      </c>
      <c r="U152" s="3">
        <f t="shared" si="7"/>
        <v>3300.697525867459</v>
      </c>
      <c r="V152" s="3">
        <f t="shared" si="7"/>
        <v>5528.370447164791</v>
      </c>
      <c r="W152" s="3">
        <f t="shared" si="7"/>
        <v>7900.062422823996</v>
      </c>
      <c r="X152" s="3">
        <f t="shared" si="7"/>
        <v>10425.084284709568</v>
      </c>
      <c r="Y152" s="3">
        <f t="shared" si="7"/>
        <v>13113.348809966043</v>
      </c>
      <c r="Z152" s="3">
        <f t="shared" si="7"/>
        <v>15975.409636780349</v>
      </c>
      <c r="AA152" s="3">
        <f t="shared" si="7"/>
        <v>19022.5026960482</v>
      </c>
      <c r="AB152" s="3">
        <f t="shared" si="7"/>
        <v>22266.590321597716</v>
      </c>
      <c r="AC152" s="3">
        <f t="shared" si="7"/>
        <v>25720.40821213901</v>
      </c>
      <c r="AD152" s="3">
        <f t="shared" si="7"/>
        <v>29397.5154293038</v>
      </c>
      <c r="AE152" s="3">
        <f t="shared" si="7"/>
        <v>33312.34762805829</v>
      </c>
      <c r="AF152" s="3">
        <f t="shared" si="7"/>
        <v>37480.27372846226</v>
      </c>
      <c r="AG152" s="3">
        <f t="shared" si="7"/>
        <v>41917.65625125735</v>
      </c>
    </row>
    <row r="153" spans="2:33" ht="12.75">
      <c r="B153" s="70" t="s">
        <v>336</v>
      </c>
      <c r="C153" s="3">
        <f>+C151</f>
        <v>-25999.425</v>
      </c>
      <c r="D153" s="3">
        <f>+C153+D151</f>
        <v>-22488.74575471698</v>
      </c>
      <c r="E153" s="3">
        <f aca="true" t="shared" si="8" ref="E153:AG153">+D153+E151</f>
        <v>-21805.27001779993</v>
      </c>
      <c r="F153" s="3">
        <f t="shared" si="8"/>
        <v>-21118.796014678475</v>
      </c>
      <c r="G153" s="3">
        <f t="shared" si="8"/>
        <v>-20429.310592581067</v>
      </c>
      <c r="H153" s="3">
        <f t="shared" si="8"/>
        <v>-19736.800541037665</v>
      </c>
      <c r="I153" s="3">
        <f t="shared" si="8"/>
        <v>-19041.252591626642</v>
      </c>
      <c r="J153" s="3">
        <f t="shared" si="8"/>
        <v>-18342.65341772056</v>
      </c>
      <c r="K153" s="3">
        <f t="shared" si="8"/>
        <v>-17640.989634230835</v>
      </c>
      <c r="L153" s="3">
        <f t="shared" si="8"/>
        <v>-16936.247797351272</v>
      </c>
      <c r="M153" s="3">
        <f t="shared" si="8"/>
        <v>-16228.414404300493</v>
      </c>
      <c r="N153" s="3">
        <f t="shared" si="8"/>
        <v>-15517.475893063218</v>
      </c>
      <c r="O153" s="3">
        <f t="shared" si="8"/>
        <v>-13312.510551399419</v>
      </c>
      <c r="P153" s="3">
        <f t="shared" si="8"/>
        <v>-12595.32087950734</v>
      </c>
      <c r="Q153" s="3">
        <f t="shared" si="8"/>
        <v>-11874.985045375359</v>
      </c>
      <c r="R153" s="3">
        <f t="shared" si="8"/>
        <v>-11151.489247442703</v>
      </c>
      <c r="S153" s="3">
        <f t="shared" si="8"/>
        <v>-10424.819623604022</v>
      </c>
      <c r="T153" s="3">
        <f t="shared" si="8"/>
        <v>-9694.962250943785</v>
      </c>
      <c r="U153" s="3">
        <f t="shared" si="8"/>
        <v>-8961.90314546952</v>
      </c>
      <c r="V153" s="3">
        <f t="shared" si="8"/>
        <v>-8225.628261843882</v>
      </c>
      <c r="W153" s="3">
        <f t="shared" si="8"/>
        <v>-7486.123493115546</v>
      </c>
      <c r="X153" s="3">
        <f t="shared" si="8"/>
        <v>-6743.37467044892</v>
      </c>
      <c r="Y153" s="3">
        <f t="shared" si="8"/>
        <v>-5997.367562852673</v>
      </c>
      <c r="Z153" s="3">
        <f t="shared" si="8"/>
        <v>-5248.087876907064</v>
      </c>
      <c r="AA153" s="3">
        <f t="shared" si="8"/>
        <v>-4495.52125649009</v>
      </c>
      <c r="AB153" s="3">
        <f t="shared" si="8"/>
        <v>-3739.653282502419</v>
      </c>
      <c r="AC153" s="3">
        <f t="shared" si="8"/>
        <v>-2980.469472591123</v>
      </c>
      <c r="AD153" s="3">
        <f t="shared" si="8"/>
        <v>-2217.9552808721974</v>
      </c>
      <c r="AE153" s="3">
        <f t="shared" si="8"/>
        <v>-1452.096097651863</v>
      </c>
      <c r="AF153" s="3">
        <f t="shared" si="8"/>
        <v>-682.877249146647</v>
      </c>
      <c r="AG153" s="3">
        <f t="shared" si="8"/>
        <v>89.71600279776612</v>
      </c>
    </row>
    <row r="154" spans="2:22" ht="12.75">
      <c r="B154" s="1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2.75">
      <c r="B155" s="32" t="s">
        <v>309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4.25">
      <c r="B156" s="15" t="s">
        <v>308</v>
      </c>
      <c r="C156" s="31">
        <f>IRR(C150:M150,0.01)</f>
        <v>-0.12138889559628963</v>
      </c>
      <c r="D156" s="31"/>
      <c r="E156" s="3"/>
      <c r="F156" s="3"/>
      <c r="G156" s="3"/>
      <c r="H156" s="19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4.25">
      <c r="B157" s="15" t="s">
        <v>235</v>
      </c>
      <c r="C157" s="31">
        <f>IRR(C150:AB150)</f>
        <v>0.046336734915431554</v>
      </c>
      <c r="D157" s="31"/>
      <c r="E157" s="3"/>
      <c r="F157" s="3"/>
      <c r="G157" s="3"/>
      <c r="H157" s="197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4.25">
      <c r="B158" s="15" t="s">
        <v>230</v>
      </c>
      <c r="C158" s="101">
        <f>IRR(C150:AG150)</f>
        <v>0.060261031359906125</v>
      </c>
      <c r="D158" s="3"/>
      <c r="E158" s="3"/>
      <c r="F158" s="3"/>
      <c r="G158" s="3"/>
      <c r="H158" s="19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4.25">
      <c r="B159" s="15"/>
      <c r="C159" s="3"/>
      <c r="E159" s="3"/>
      <c r="F159" s="3"/>
      <c r="G159" s="3"/>
      <c r="H159" s="19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2.75">
      <c r="B160" s="15" t="s">
        <v>278</v>
      </c>
      <c r="C160" s="2">
        <f>+L153</f>
        <v>-16936.247797351272</v>
      </c>
      <c r="E160" s="3"/>
      <c r="F160" s="3"/>
      <c r="G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2.75">
      <c r="B161" s="15" t="s">
        <v>279</v>
      </c>
      <c r="C161" s="2">
        <f>+AA153</f>
        <v>-4495.52125649009</v>
      </c>
      <c r="E161" s="3"/>
      <c r="F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2.75">
      <c r="B162" s="15" t="s">
        <v>231</v>
      </c>
      <c r="C162" s="2">
        <f>+AF153</f>
        <v>-682.877249146647</v>
      </c>
      <c r="E162" s="3"/>
      <c r="F162" s="3"/>
      <c r="G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2.75">
      <c r="B163" s="15"/>
      <c r="C163" s="3"/>
      <c r="D163" s="2"/>
      <c r="E163" s="3"/>
      <c r="F163" s="3"/>
      <c r="G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4" ht="12.75">
      <c r="B164" s="15" t="s">
        <v>212</v>
      </c>
      <c r="C164">
        <f>'Payback Period'!C9</f>
        <v>17</v>
      </c>
      <c r="D164" t="s">
        <v>213</v>
      </c>
    </row>
    <row r="165" spans="2:4" ht="12.75">
      <c r="B165" s="15" t="s">
        <v>73</v>
      </c>
      <c r="C165">
        <f>'Payback Period'!C20</f>
        <v>30</v>
      </c>
      <c r="D165" t="s">
        <v>213</v>
      </c>
    </row>
    <row r="166" ht="12.75">
      <c r="B166" s="15"/>
    </row>
    <row r="167" spans="2:5" ht="12.75">
      <c r="B167" s="15" t="s">
        <v>8</v>
      </c>
      <c r="C167" s="196">
        <f>(C169-C170)/C171</f>
        <v>31.88518965230411</v>
      </c>
      <c r="D167" t="s">
        <v>13</v>
      </c>
      <c r="E167" s="86" t="s">
        <v>22</v>
      </c>
    </row>
    <row r="168" ht="13.5">
      <c r="E168" s="34" t="s">
        <v>27</v>
      </c>
    </row>
    <row r="169" spans="2:5" ht="12.75">
      <c r="B169" s="15" t="s">
        <v>12</v>
      </c>
      <c r="C169" s="3">
        <f>-AI131</f>
        <v>28999.425</v>
      </c>
      <c r="E169" t="s">
        <v>17</v>
      </c>
    </row>
    <row r="170" spans="2:3" ht="12.75">
      <c r="B170" s="15" t="s">
        <v>10</v>
      </c>
      <c r="C170" s="3">
        <f>SUM(AI133:AI144)</f>
        <v>6000</v>
      </c>
    </row>
    <row r="171" spans="2:5" ht="12.75">
      <c r="B171" s="15" t="s">
        <v>11</v>
      </c>
      <c r="C171" s="3">
        <f>D146+D147</f>
        <v>721.3199999999999</v>
      </c>
      <c r="E171" s="86" t="s">
        <v>23</v>
      </c>
    </row>
    <row r="172" ht="12.75">
      <c r="E172" t="s">
        <v>24</v>
      </c>
    </row>
    <row r="173" ht="12.75">
      <c r="E173" t="s">
        <v>25</v>
      </c>
    </row>
    <row r="174" ht="12.75">
      <c r="E174" t="s">
        <v>26</v>
      </c>
    </row>
    <row r="177" ht="14.25">
      <c r="J177" s="197"/>
    </row>
    <row r="178" ht="14.25">
      <c r="J178" s="197" t="s">
        <v>18</v>
      </c>
    </row>
    <row r="179" ht="14.25">
      <c r="J179" s="197" t="s">
        <v>19</v>
      </c>
    </row>
    <row r="180" ht="14.25">
      <c r="J180" s="197"/>
    </row>
    <row r="181" ht="14.25">
      <c r="J181" s="197" t="s">
        <v>20</v>
      </c>
    </row>
    <row r="182" ht="14.25">
      <c r="J182" s="197" t="s">
        <v>21</v>
      </c>
    </row>
    <row r="183" ht="14.25">
      <c r="J183" s="197"/>
    </row>
  </sheetData>
  <sheetProtection/>
  <mergeCells count="2">
    <mergeCell ref="K11:L11"/>
    <mergeCell ref="F90:H90"/>
  </mergeCells>
  <printOptions/>
  <pageMargins left="0.75" right="0.75" top="1" bottom="1" header="0.5" footer="0.5"/>
  <pageSetup horizontalDpi="600" verticalDpi="600" orientation="landscape"/>
  <rowBreaks count="1" manualBreakCount="1">
    <brk id="1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B1">
      <selection activeCell="B8" sqref="B8:C45"/>
    </sheetView>
  </sheetViews>
  <sheetFormatPr defaultColWidth="9.140625" defaultRowHeight="12.75"/>
  <cols>
    <col min="2" max="2" width="54.28125" style="0" customWidth="1"/>
    <col min="3" max="3" width="15.8515625" style="6" customWidth="1"/>
    <col min="5" max="5" width="57.140625" style="0" customWidth="1"/>
    <col min="6" max="6" width="15.7109375" style="0" customWidth="1"/>
    <col min="7" max="8" width="9.8515625" style="0" customWidth="1"/>
  </cols>
  <sheetData>
    <row r="1" ht="15">
      <c r="A1" s="142" t="s">
        <v>330</v>
      </c>
    </row>
    <row r="2" ht="12.75">
      <c r="A2" s="140" t="s">
        <v>332</v>
      </c>
    </row>
    <row r="3" ht="12.75">
      <c r="A3" s="140" t="s">
        <v>334</v>
      </c>
    </row>
    <row r="4" ht="12.75">
      <c r="A4" s="140" t="s">
        <v>333</v>
      </c>
    </row>
    <row r="5" ht="12.75">
      <c r="A5" s="140"/>
    </row>
    <row r="6" spans="2:5" ht="13.5">
      <c r="B6" s="143" t="str">
        <f>IF(Main!C31="N","USE THIS",IF(Main!C32="N","USE THIS","DO NOT USE THIS"))</f>
        <v>USE THIS</v>
      </c>
      <c r="E6" s="143" t="str">
        <f>IF(Main!C31="C",IF(Main!C32="Y","USE THIS","DO NOT USE THIS"),"DO NOT USE THIS")</f>
        <v>DO NOT USE THIS</v>
      </c>
    </row>
    <row r="7" spans="2:5" ht="13.5" thickBot="1">
      <c r="B7" t="s">
        <v>77</v>
      </c>
      <c r="E7" t="s">
        <v>78</v>
      </c>
    </row>
    <row r="8" spans="2:6" ht="15">
      <c r="B8" s="203" t="s">
        <v>197</v>
      </c>
      <c r="C8" s="204"/>
      <c r="E8" s="138" t="s">
        <v>197</v>
      </c>
      <c r="F8" s="139"/>
    </row>
    <row r="9" spans="2:6" ht="15">
      <c r="B9" s="205" t="s">
        <v>196</v>
      </c>
      <c r="C9" s="206"/>
      <c r="E9" s="104" t="s">
        <v>196</v>
      </c>
      <c r="F9" s="105"/>
    </row>
    <row r="10" spans="2:6" ht="15">
      <c r="B10" s="50" t="str">
        <f>+Main!$B$25</f>
        <v>Solar electric systems rated module capacity (kW dc)</v>
      </c>
      <c r="C10" s="148">
        <f>+Main!$C$25</f>
        <v>3.675</v>
      </c>
      <c r="E10" s="50" t="str">
        <f>+Main!$B$25</f>
        <v>Solar electric systems rated module capacity (kW dc)</v>
      </c>
      <c r="F10" s="148">
        <f>+Main!$C$25</f>
        <v>3.675</v>
      </c>
    </row>
    <row r="11" spans="2:6" ht="15">
      <c r="B11" s="50" t="str">
        <f>+Main!$B$81</f>
        <v> Estimated output year one (kWh/yr)</v>
      </c>
      <c r="C11" s="150">
        <f>+Main!$C$81</f>
        <v>6011</v>
      </c>
      <c r="E11" s="50" t="str">
        <f>+Main!$B$81</f>
        <v> Estimated output year one (kWh/yr)</v>
      </c>
      <c r="F11" s="150">
        <f>+Main!$C$81</f>
        <v>6011</v>
      </c>
    </row>
    <row r="12" spans="2:6" ht="15">
      <c r="B12" s="205" t="s">
        <v>193</v>
      </c>
      <c r="C12" s="206"/>
      <c r="E12" s="104" t="s">
        <v>193</v>
      </c>
      <c r="F12" s="105"/>
    </row>
    <row r="13" spans="2:6" ht="15">
      <c r="B13" s="50" t="str">
        <f>+Main!$B$80</f>
        <v>Estimated installed cost</v>
      </c>
      <c r="C13" s="144">
        <f>+Main!$C$80</f>
        <v>28999.425</v>
      </c>
      <c r="E13" s="50" t="str">
        <f>+'[1]Main'!$B$80</f>
        <v>Estimated installed cost</v>
      </c>
      <c r="F13" s="144">
        <f>+Main!$C$80</f>
        <v>28999.425</v>
      </c>
    </row>
    <row r="14" spans="2:6" ht="15">
      <c r="B14" s="50" t="s">
        <v>57</v>
      </c>
      <c r="C14" s="144">
        <f>Main!C134+Main!D134</f>
        <v>3000</v>
      </c>
      <c r="E14" s="50" t="str">
        <f>+'[1]Main'!$B$98</f>
        <v>Focus Incentive</v>
      </c>
      <c r="F14" s="144">
        <f>+Main!$C$134+Main!$D$134</f>
        <v>3000</v>
      </c>
    </row>
    <row r="15" spans="2:6" ht="15">
      <c r="B15" s="192" t="s">
        <v>54</v>
      </c>
      <c r="C15" s="145">
        <f>Main!C105</f>
        <v>0</v>
      </c>
      <c r="E15" s="50" t="s">
        <v>96</v>
      </c>
      <c r="F15" s="144">
        <f>+Main!$C$124</f>
        <v>0</v>
      </c>
    </row>
    <row r="16" spans="2:6" ht="15">
      <c r="B16" s="50" t="s">
        <v>58</v>
      </c>
      <c r="C16" s="145">
        <f>Main!C140+Main!D140</f>
        <v>0</v>
      </c>
      <c r="E16" s="50" t="s">
        <v>275</v>
      </c>
      <c r="F16" s="144">
        <f>+Main!$C$65+Main!C64</f>
        <v>0</v>
      </c>
    </row>
    <row r="17" spans="2:6" ht="15">
      <c r="B17" s="50" t="str">
        <f>+Main!$B$124</f>
        <v>Federal Tax Credit or Treasury Payment</v>
      </c>
      <c r="C17" s="144">
        <f>Main!C124</f>
        <v>0</v>
      </c>
      <c r="E17" s="50" t="s">
        <v>82</v>
      </c>
      <c r="F17" s="144">
        <f>F13-F14-F15-F16</f>
        <v>25999.425</v>
      </c>
    </row>
    <row r="18" spans="2:6" ht="15">
      <c r="B18" s="50" t="s">
        <v>126</v>
      </c>
      <c r="C18" s="145">
        <f>Main!C109</f>
        <v>0</v>
      </c>
      <c r="E18" s="50" t="s">
        <v>198</v>
      </c>
      <c r="F18" s="144">
        <f>SUM(Main!$D$146:$M$146)+SUM(Main!$D$147:$M$147)+SUM(Main!$D$144:$M$144)+Main!C145</f>
        <v>9717.765675898743</v>
      </c>
    </row>
    <row r="19" spans="2:6" ht="15">
      <c r="B19" s="50" t="s">
        <v>55</v>
      </c>
      <c r="C19" s="145">
        <f>Main!C112</f>
        <v>3000</v>
      </c>
      <c r="E19" s="104" t="s">
        <v>194</v>
      </c>
      <c r="F19" s="105"/>
    </row>
    <row r="20" spans="2:6" ht="15">
      <c r="B20" s="50" t="s">
        <v>117</v>
      </c>
      <c r="C20" s="145">
        <f>Main!C114</f>
        <v>0</v>
      </c>
      <c r="E20" s="50" t="s">
        <v>214</v>
      </c>
      <c r="F20" s="87">
        <f>+Main!$C$164</f>
        <v>17</v>
      </c>
    </row>
    <row r="21" spans="2:6" ht="15">
      <c r="B21" s="50" t="s">
        <v>131</v>
      </c>
      <c r="C21" s="145">
        <f>+Main!$C$64</f>
        <v>0</v>
      </c>
      <c r="E21" s="50" t="str">
        <f>+Main!$B$160</f>
        <v>10 year discounted NPV</v>
      </c>
      <c r="F21" s="145">
        <f>+Main!$C$160</f>
        <v>-16936.247797351272</v>
      </c>
    </row>
    <row r="22" spans="2:6" ht="15">
      <c r="B22" s="50" t="s">
        <v>275</v>
      </c>
      <c r="C22" s="145">
        <f>+Main!$C$65</f>
        <v>0</v>
      </c>
      <c r="D22" s="194"/>
      <c r="E22" s="50" t="str">
        <f>+Main!$B$161</f>
        <v>25 Year discounted NPV</v>
      </c>
      <c r="F22" s="145">
        <f>+Main!$C$161</f>
        <v>-4495.52125649009</v>
      </c>
    </row>
    <row r="23" spans="2:6" ht="15">
      <c r="B23" s="50" t="s">
        <v>328</v>
      </c>
      <c r="C23" s="145">
        <f>C13-(C14+C15+C16+C17+C18+C19+C20+C21+C22)</f>
        <v>22999.425</v>
      </c>
      <c r="E23" s="50" t="str">
        <f>+Main!$B$156</f>
        <v>10 Year IRR</v>
      </c>
      <c r="F23" s="47">
        <f>+Main!$C$156</f>
        <v>-0.12138889559628963</v>
      </c>
    </row>
    <row r="24" spans="2:6" ht="15">
      <c r="B24" s="50" t="s">
        <v>329</v>
      </c>
      <c r="C24" s="144">
        <f>SUM(Main!$D$143:$I$143)</f>
        <v>0</v>
      </c>
      <c r="E24" s="50" t="str">
        <f>+Main!$B$157</f>
        <v>25 Year IRR</v>
      </c>
      <c r="F24" s="47">
        <f>+Main!$C$157</f>
        <v>0.046336734915431554</v>
      </c>
    </row>
    <row r="25" spans="2:6" ht="15">
      <c r="B25" s="50" t="s">
        <v>191</v>
      </c>
      <c r="C25" s="144">
        <f>+$C$23-$C$24</f>
        <v>22999.425</v>
      </c>
      <c r="E25" s="113" t="s">
        <v>190</v>
      </c>
      <c r="F25" s="108"/>
    </row>
    <row r="26" spans="2:6" ht="15">
      <c r="B26" s="50" t="s">
        <v>198</v>
      </c>
      <c r="C26" s="144">
        <f>SUM(Main!$D$146:$M$146)+SUM(Main!$D$147:$M$147)+SUM(Main!$D$144:$M$144)+Main!C145</f>
        <v>9717.765675898743</v>
      </c>
      <c r="E26" s="104" t="s">
        <v>195</v>
      </c>
      <c r="F26" s="105"/>
    </row>
    <row r="27" spans="2:6" ht="15" thickBot="1">
      <c r="B27" s="104" t="s">
        <v>194</v>
      </c>
      <c r="C27" s="146"/>
      <c r="E27" s="51" t="str">
        <f>+Main!$B$83</f>
        <v>CO2 emission reduction per year (tons/year)</v>
      </c>
      <c r="F27" s="88">
        <f>+Main!$C$83</f>
        <v>6.660188000000001</v>
      </c>
    </row>
    <row r="28" spans="2:3" ht="15" thickBot="1">
      <c r="B28" s="50" t="str">
        <f>+Main!$B$160</f>
        <v>10 year discounted NPV</v>
      </c>
      <c r="C28" s="145">
        <f>+Main!$C$160</f>
        <v>-16936.247797351272</v>
      </c>
    </row>
    <row r="29" spans="2:6" ht="15">
      <c r="B29" s="50" t="str">
        <f>+Main!$B$161</f>
        <v>25 Year discounted NPV</v>
      </c>
      <c r="C29" s="145">
        <f>+Main!$C$161</f>
        <v>-4495.52125649009</v>
      </c>
      <c r="E29" s="106" t="s">
        <v>331</v>
      </c>
      <c r="F29" s="107"/>
    </row>
    <row r="30" spans="2:6" ht="15">
      <c r="B30" s="50" t="str">
        <f>+Main!$B$156</f>
        <v>10 Year IRR</v>
      </c>
      <c r="C30" s="47">
        <f>+Main!$C$156</f>
        <v>-0.12138889559628963</v>
      </c>
      <c r="E30" s="50" t="s">
        <v>241</v>
      </c>
      <c r="F30" s="144">
        <f>+$C$13/Main!$C$25</f>
        <v>7891</v>
      </c>
    </row>
    <row r="31" spans="2:6" ht="15">
      <c r="B31" s="50" t="str">
        <f>+Main!$B$157</f>
        <v>25 Year IRR</v>
      </c>
      <c r="C31" s="47">
        <f>+Main!$C$157</f>
        <v>0.046336734915431554</v>
      </c>
      <c r="E31" s="50" t="str">
        <f>+Main!$B$34</f>
        <v>Electricity rate year one ($/kWh)</v>
      </c>
      <c r="F31" s="147">
        <f>+Main!$C$34</f>
        <v>0.12</v>
      </c>
    </row>
    <row r="32" spans="2:6" ht="15">
      <c r="B32" s="113" t="s">
        <v>190</v>
      </c>
      <c r="C32" s="108"/>
      <c r="E32" s="50" t="s">
        <v>79</v>
      </c>
      <c r="F32" s="149" t="str">
        <f>IF(Main!$C$42="N","Net Metering",Main!$C$43)</f>
        <v>Net Metering</v>
      </c>
    </row>
    <row r="33" spans="2:6" ht="15">
      <c r="B33" s="50" t="s">
        <v>214</v>
      </c>
      <c r="C33" s="87">
        <f>+Main!$C$164</f>
        <v>17</v>
      </c>
      <c r="E33" s="50" t="str">
        <f>+Main!$B$35</f>
        <v>Estimated electricity price inflation rate (%/yr)</v>
      </c>
      <c r="F33" s="48">
        <f>+Main!$C$35</f>
        <v>0.07</v>
      </c>
    </row>
    <row r="34" spans="2:6" ht="15" thickBot="1">
      <c r="B34" s="104" t="s">
        <v>195</v>
      </c>
      <c r="C34" s="105"/>
      <c r="E34" s="51" t="str">
        <f>+Main!$B$72</f>
        <v>Expected output degradation (%/year)</v>
      </c>
      <c r="F34" s="141">
        <f>+Main!$C$72</f>
        <v>0.005</v>
      </c>
    </row>
    <row r="35" spans="2:3" ht="15" thickBot="1">
      <c r="B35" s="51" t="str">
        <f>+Main!$B$83</f>
        <v>CO2 emission reduction per year (tons/year)</v>
      </c>
      <c r="C35" s="88">
        <f>+Main!$C$83</f>
        <v>6.660188000000001</v>
      </c>
    </row>
    <row r="36" ht="13.5" thickBot="1"/>
    <row r="37" spans="2:3" ht="15">
      <c r="B37" s="106" t="s">
        <v>331</v>
      </c>
      <c r="C37" s="107"/>
    </row>
    <row r="38" spans="2:3" ht="15">
      <c r="B38" s="50" t="s">
        <v>241</v>
      </c>
      <c r="C38" s="144">
        <f>+$C$13/Main!$C$25</f>
        <v>7891</v>
      </c>
    </row>
    <row r="39" spans="2:3" ht="15">
      <c r="B39" s="50" t="str">
        <f>+Main!$B$48</f>
        <v> Federal Income Tax Rate</v>
      </c>
      <c r="C39" s="46">
        <f>+Main!$C$48</f>
        <v>0.3</v>
      </c>
    </row>
    <row r="40" spans="2:3" ht="15">
      <c r="B40" s="50" t="str">
        <f>+Main!$B$49</f>
        <v> State Income Tax Rate</v>
      </c>
      <c r="C40" s="47">
        <f>+Main!$C$49</f>
        <v>0.079</v>
      </c>
    </row>
    <row r="41" spans="2:3" ht="15">
      <c r="B41" s="50" t="str">
        <f>+Main!$B$34</f>
        <v>Electricity rate year one ($/kWh)</v>
      </c>
      <c r="C41" s="147">
        <f>+Main!$C$34</f>
        <v>0.12</v>
      </c>
    </row>
    <row r="42" spans="2:3" ht="15">
      <c r="B42" s="50" t="s">
        <v>79</v>
      </c>
      <c r="C42" s="149" t="str">
        <f>IF(Main!$C$42="N","NA",Main!$C$43)</f>
        <v>NA</v>
      </c>
    </row>
    <row r="43" spans="2:3" ht="15">
      <c r="B43" s="50" t="str">
        <f>+Main!$B$35</f>
        <v>Estimated electricity price inflation rate (%/yr)</v>
      </c>
      <c r="C43" s="48">
        <f>+Main!$C$35</f>
        <v>0.07</v>
      </c>
    </row>
    <row r="44" spans="2:3" ht="15">
      <c r="B44" s="50" t="str">
        <f>+Main!$B$72</f>
        <v>Expected output degradation (%/year)</v>
      </c>
      <c r="C44" s="48">
        <f>+Main!$C$72</f>
        <v>0.005</v>
      </c>
    </row>
    <row r="45" spans="2:3" ht="15" thickBot="1">
      <c r="B45" s="51" t="s">
        <v>208</v>
      </c>
      <c r="C45" s="49">
        <f>+Main!$C$75</f>
        <v>0.06</v>
      </c>
    </row>
    <row r="47" ht="12.75">
      <c r="B47" s="13" t="s">
        <v>276</v>
      </c>
    </row>
    <row r="48" ht="12.75">
      <c r="B48" s="13"/>
    </row>
    <row r="49" ht="12.75">
      <c r="B49" s="86" t="s">
        <v>212</v>
      </c>
    </row>
    <row r="50" ht="12.75">
      <c r="B50" s="85" t="s">
        <v>16</v>
      </c>
    </row>
    <row r="51" ht="12.75">
      <c r="B51" s="85" t="s">
        <v>17</v>
      </c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86" t="s">
        <v>277</v>
      </c>
    </row>
    <row r="58" ht="12.75">
      <c r="B58" s="85" t="s">
        <v>188</v>
      </c>
    </row>
    <row r="59" ht="12.75">
      <c r="B59" s="85" t="s">
        <v>280</v>
      </c>
    </row>
    <row r="60" ht="12.75">
      <c r="B60" s="85" t="s">
        <v>184</v>
      </c>
    </row>
    <row r="61" ht="12.75">
      <c r="B61" s="85"/>
    </row>
    <row r="62" ht="12.75">
      <c r="B62" s="86" t="s">
        <v>189</v>
      </c>
    </row>
    <row r="63" ht="12.75">
      <c r="B63" s="85" t="s">
        <v>187</v>
      </c>
    </row>
    <row r="64" ht="12.75">
      <c r="B64" s="85" t="s">
        <v>185</v>
      </c>
    </row>
    <row r="65" ht="12.75">
      <c r="B65" s="85" t="s">
        <v>186</v>
      </c>
    </row>
  </sheetData>
  <sheetProtection/>
  <mergeCells count="3">
    <mergeCell ref="B8:C8"/>
    <mergeCell ref="B9:C9"/>
    <mergeCell ref="B12:C12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52.421875" style="0" customWidth="1"/>
    <col min="3" max="3" width="15.421875" style="0" customWidth="1"/>
    <col min="4" max="4" width="11.421875" style="0" bestFit="1" customWidth="1"/>
    <col min="5" max="23" width="10.8515625" style="0" bestFit="1" customWidth="1"/>
    <col min="24" max="25" width="10.7109375" style="0" customWidth="1"/>
    <col min="26" max="26" width="10.421875" style="0" customWidth="1"/>
    <col min="27" max="27" width="10.28125" style="0" customWidth="1"/>
    <col min="28" max="28" width="9.8515625" style="0" customWidth="1"/>
  </cols>
  <sheetData>
    <row r="1" ht="12.75">
      <c r="A1" s="13" t="s">
        <v>66</v>
      </c>
    </row>
    <row r="3" ht="12.75">
      <c r="B3" s="34" t="s">
        <v>44</v>
      </c>
    </row>
    <row r="4" ht="12.75">
      <c r="B4" s="34" t="s">
        <v>45</v>
      </c>
    </row>
    <row r="5" ht="12.75">
      <c r="B5" t="s">
        <v>33</v>
      </c>
    </row>
    <row r="7" ht="12.75">
      <c r="B7" s="34" t="s">
        <v>47</v>
      </c>
    </row>
    <row r="8" ht="12.75">
      <c r="B8" t="s">
        <v>35</v>
      </c>
    </row>
    <row r="10" ht="12.75">
      <c r="B10" t="s">
        <v>34</v>
      </c>
    </row>
    <row r="11" ht="12.75">
      <c r="B11" t="s">
        <v>128</v>
      </c>
    </row>
    <row r="12" ht="12.75">
      <c r="B12" s="34" t="s">
        <v>67</v>
      </c>
    </row>
    <row r="13" ht="12.75">
      <c r="B13" t="s">
        <v>127</v>
      </c>
    </row>
    <row r="15" ht="12.75">
      <c r="B15" t="s">
        <v>36</v>
      </c>
    </row>
    <row r="16" ht="12.75">
      <c r="B16" s="34" t="s">
        <v>46</v>
      </c>
    </row>
    <row r="20" spans="2:3" ht="12.75">
      <c r="B20" s="13" t="s">
        <v>65</v>
      </c>
      <c r="C20" s="86" t="s">
        <v>43</v>
      </c>
    </row>
    <row r="22" spans="2:30" ht="12.75">
      <c r="B22" s="15" t="str">
        <f>Main!B130</f>
        <v>Year</v>
      </c>
      <c r="C22">
        <f>Main!C130</f>
        <v>0</v>
      </c>
      <c r="D22">
        <f>Main!D130</f>
        <v>1</v>
      </c>
      <c r="E22">
        <f>Main!E130</f>
        <v>2</v>
      </c>
      <c r="F22">
        <f>Main!F130</f>
        <v>3</v>
      </c>
      <c r="G22">
        <f>Main!G130</f>
        <v>4</v>
      </c>
      <c r="H22">
        <f>Main!H130</f>
        <v>5</v>
      </c>
      <c r="I22">
        <f>Main!I130</f>
        <v>6</v>
      </c>
      <c r="J22">
        <f>Main!J130</f>
        <v>7</v>
      </c>
      <c r="K22">
        <f>Main!K130</f>
        <v>8</v>
      </c>
      <c r="L22">
        <f>Main!L130</f>
        <v>9</v>
      </c>
      <c r="M22">
        <f>Main!M130</f>
        <v>10</v>
      </c>
      <c r="N22">
        <f>Main!N130</f>
        <v>11</v>
      </c>
      <c r="O22">
        <f>Main!O130</f>
        <v>12</v>
      </c>
      <c r="P22">
        <f>Main!P130</f>
        <v>13</v>
      </c>
      <c r="Q22">
        <f>Main!Q130</f>
        <v>14</v>
      </c>
      <c r="R22">
        <f>Main!R130</f>
        <v>15</v>
      </c>
      <c r="S22">
        <f>Main!S130</f>
        <v>16</v>
      </c>
      <c r="T22">
        <f>Main!T130</f>
        <v>17</v>
      </c>
      <c r="U22">
        <f>Main!U130</f>
        <v>18</v>
      </c>
      <c r="V22">
        <f>Main!V130</f>
        <v>19</v>
      </c>
      <c r="W22">
        <f>Main!W130</f>
        <v>20</v>
      </c>
      <c r="X22">
        <f>Main!X130</f>
        <v>21</v>
      </c>
      <c r="Y22">
        <f>Main!Y130</f>
        <v>22</v>
      </c>
      <c r="Z22">
        <f>Main!Z130</f>
        <v>23</v>
      </c>
      <c r="AA22">
        <f>Main!AA130</f>
        <v>24</v>
      </c>
      <c r="AB22">
        <f>Main!AB130</f>
        <v>25</v>
      </c>
      <c r="AC22">
        <f>Main!AC130</f>
        <v>26</v>
      </c>
      <c r="AD22">
        <f>Main!AD130</f>
        <v>27</v>
      </c>
    </row>
    <row r="23" ht="12.75">
      <c r="B23" s="15"/>
    </row>
    <row r="24" spans="2:28" ht="12.75">
      <c r="B24" s="15" t="str">
        <f>+Main!B133</f>
        <v>Fed Tax Credit</v>
      </c>
      <c r="C24" s="2">
        <f>+Main!C133</f>
        <v>0</v>
      </c>
      <c r="D24" s="2">
        <f>+Main!D133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12.75">
      <c r="B25" s="15" t="str">
        <f>+Main!B134</f>
        <v>Focus Incentives</v>
      </c>
      <c r="C25" s="2">
        <f>+Main!C134</f>
        <v>1500</v>
      </c>
      <c r="D25" s="2">
        <f>+Main!D134</f>
        <v>1500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12.75">
      <c r="B26" s="15" t="str">
        <f>+Main!B144</f>
        <v>Solar buyback rate customer charge</v>
      </c>
      <c r="C26" s="2">
        <f>+Main!C144</f>
        <v>0</v>
      </c>
      <c r="D26" s="2">
        <f>+Main!D144</f>
        <v>0</v>
      </c>
      <c r="E26" s="2">
        <f>+Main!E144</f>
        <v>0</v>
      </c>
      <c r="F26" s="2">
        <f>+Main!F144</f>
        <v>0</v>
      </c>
      <c r="G26" s="2">
        <f>+Main!G144</f>
        <v>0</v>
      </c>
      <c r="H26" s="2">
        <f>+Main!H144</f>
        <v>0</v>
      </c>
      <c r="I26" s="2">
        <f>+Main!I144</f>
        <v>0</v>
      </c>
      <c r="J26" s="2">
        <f>+Main!J144</f>
        <v>0</v>
      </c>
      <c r="K26" s="2">
        <f>+Main!K144</f>
        <v>0</v>
      </c>
      <c r="L26" s="2">
        <f>+Main!L144</f>
        <v>0</v>
      </c>
      <c r="M26" s="2">
        <f>+Main!M144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12.75">
      <c r="B27" s="15" t="str">
        <f>+Main!B145</f>
        <v>Solar buyback rate utility meter charge</v>
      </c>
      <c r="C27" s="2">
        <f>+Main!C145</f>
        <v>0</v>
      </c>
      <c r="D27" s="2">
        <f>+Main!D145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12.75">
      <c r="B28" s="15" t="str">
        <f>+Main!B146</f>
        <v>kWh Savings</v>
      </c>
      <c r="C28" s="2">
        <f>+Main!C146</f>
        <v>0</v>
      </c>
      <c r="D28" s="2">
        <f>+Main!D146</f>
        <v>721.3199999999999</v>
      </c>
      <c r="E28" s="2">
        <f>+Main!E146</f>
        <v>767.953338</v>
      </c>
      <c r="F28" s="2">
        <f>+Main!F146</f>
        <v>817.6015213017</v>
      </c>
      <c r="G28" s="2">
        <f>+Main!G146</f>
        <v>870.459459653855</v>
      </c>
      <c r="H28" s="2">
        <f>+Main!H146</f>
        <v>926.7346637204768</v>
      </c>
      <c r="I28" s="2">
        <f>+Main!I146</f>
        <v>986.6480597300057</v>
      </c>
      <c r="J28" s="2">
        <f>+Main!J146</f>
        <v>1050.4348567915506</v>
      </c>
      <c r="K28" s="2">
        <f>+Main!K146</f>
        <v>1118.3454702831245</v>
      </c>
      <c r="L28" s="2">
        <f>+Main!L146</f>
        <v>1190.6465049369285</v>
      </c>
      <c r="M28" s="2">
        <f>+Main!M146</f>
        <v>1267.621801481101</v>
      </c>
      <c r="N28" s="2">
        <f>+Main!N146</f>
        <v>1349.5735509468543</v>
      </c>
      <c r="O28" s="2">
        <f>+Main!O146</f>
        <v>1436.8234810155684</v>
      </c>
      <c r="P28" s="2">
        <f>+Main!P146</f>
        <v>1529.714119063225</v>
      </c>
      <c r="Q28" s="2">
        <f>+Main!Q146</f>
        <v>1628.6101368606628</v>
      </c>
      <c r="R28" s="2">
        <f>+Main!R146</f>
        <v>1733.8997822087047</v>
      </c>
      <c r="S28" s="2">
        <f>+Main!S146</f>
        <v>1845.9964031284974</v>
      </c>
      <c r="T28" s="2">
        <f>+Main!T146</f>
        <v>1965.340070590755</v>
      </c>
      <c r="U28" s="2">
        <f>+Main!U146</f>
        <v>2092.3993061544475</v>
      </c>
      <c r="V28" s="2">
        <f>+Main!V146</f>
        <v>2227.6729212973323</v>
      </c>
      <c r="W28" s="2">
        <f>+Main!W146</f>
        <v>2371.691975659205</v>
      </c>
      <c r="X28" s="2">
        <f>+Main!X146</f>
        <v>2525.021861885573</v>
      </c>
      <c r="Y28" s="2">
        <f>+Main!Y146</f>
        <v>2688.2645252564753</v>
      </c>
      <c r="Z28" s="2">
        <f>+Main!Z146</f>
        <v>2862.060826814306</v>
      </c>
      <c r="AA28" s="2">
        <f>+Main!AA146</f>
        <v>3047.0930592678515</v>
      </c>
      <c r="AB28" s="2">
        <f>+Main!AB146</f>
        <v>3244.087625549518</v>
      </c>
    </row>
    <row r="29" spans="2:28" ht="12.75">
      <c r="B29" s="15" t="str">
        <f>+Main!B132</f>
        <v>Maintenance and Insuranace Cost</v>
      </c>
      <c r="C29" s="11">
        <f>+Main!C132</f>
        <v>0</v>
      </c>
      <c r="D29" s="11">
        <f>+Main!D132</f>
        <v>0</v>
      </c>
      <c r="E29" s="11">
        <f>+Main!E132</f>
        <v>0</v>
      </c>
      <c r="F29" s="11">
        <f>+Main!F132</f>
        <v>0</v>
      </c>
      <c r="G29" s="11">
        <f>+Main!G132</f>
        <v>0</v>
      </c>
      <c r="H29" s="11">
        <f>+Main!H132</f>
        <v>0</v>
      </c>
      <c r="I29" s="11">
        <f>+Main!I132</f>
        <v>0</v>
      </c>
      <c r="J29" s="11">
        <f>+Main!J132</f>
        <v>0</v>
      </c>
      <c r="K29" s="11">
        <f>+Main!K132</f>
        <v>0</v>
      </c>
      <c r="L29" s="11">
        <f>+Main!L132</f>
        <v>0</v>
      </c>
      <c r="M29" s="11">
        <f>+Main!M132</f>
        <v>0</v>
      </c>
      <c r="N29" s="11">
        <f>+Main!N132</f>
        <v>0</v>
      </c>
      <c r="O29" s="11">
        <f>+Main!O132</f>
        <v>3000</v>
      </c>
      <c r="P29" s="11">
        <f>+Main!P132</f>
        <v>0</v>
      </c>
      <c r="Q29" s="11">
        <f>+Main!Q132</f>
        <v>0</v>
      </c>
      <c r="R29" s="11">
        <f>+Main!R132</f>
        <v>0</v>
      </c>
      <c r="S29" s="11">
        <f>+Main!S132</f>
        <v>0</v>
      </c>
      <c r="T29" s="11">
        <f>+Main!T132</f>
        <v>0</v>
      </c>
      <c r="U29" s="11">
        <f>+Main!U132</f>
        <v>0</v>
      </c>
      <c r="V29" s="11">
        <f>+Main!V132</f>
        <v>0</v>
      </c>
      <c r="W29" s="11">
        <f>+Main!W132</f>
        <v>0</v>
      </c>
      <c r="X29" s="11">
        <f>+Main!X132</f>
        <v>0</v>
      </c>
      <c r="Y29" s="11">
        <f>+Main!Y132</f>
        <v>0</v>
      </c>
      <c r="Z29" s="11">
        <f>+Main!Z132</f>
        <v>0</v>
      </c>
      <c r="AA29" s="11">
        <f>+Main!AA132</f>
        <v>0</v>
      </c>
      <c r="AB29" s="11">
        <f>+Main!AB132</f>
        <v>0</v>
      </c>
    </row>
    <row r="30" spans="2:28" s="13" customFormat="1" ht="12.75">
      <c r="B30" s="97" t="s">
        <v>37</v>
      </c>
      <c r="C30" s="195">
        <f aca="true" t="shared" si="0" ref="C30:AB30">SUM(C24:C29)</f>
        <v>1500</v>
      </c>
      <c r="D30" s="195">
        <f t="shared" si="0"/>
        <v>2221.3199999999997</v>
      </c>
      <c r="E30" s="195">
        <f t="shared" si="0"/>
        <v>767.953338</v>
      </c>
      <c r="F30" s="195">
        <f t="shared" si="0"/>
        <v>817.6015213017</v>
      </c>
      <c r="G30" s="195">
        <f t="shared" si="0"/>
        <v>870.459459653855</v>
      </c>
      <c r="H30" s="195">
        <f t="shared" si="0"/>
        <v>926.7346637204768</v>
      </c>
      <c r="I30" s="195">
        <f t="shared" si="0"/>
        <v>986.6480597300057</v>
      </c>
      <c r="J30" s="195">
        <f t="shared" si="0"/>
        <v>1050.4348567915506</v>
      </c>
      <c r="K30" s="195">
        <f t="shared" si="0"/>
        <v>1118.3454702831245</v>
      </c>
      <c r="L30" s="195">
        <f t="shared" si="0"/>
        <v>1190.6465049369285</v>
      </c>
      <c r="M30" s="195">
        <f t="shared" si="0"/>
        <v>1267.621801481101</v>
      </c>
      <c r="N30" s="195">
        <f t="shared" si="0"/>
        <v>1349.5735509468543</v>
      </c>
      <c r="O30" s="195">
        <f t="shared" si="0"/>
        <v>4436.823481015568</v>
      </c>
      <c r="P30" s="195">
        <f t="shared" si="0"/>
        <v>1529.714119063225</v>
      </c>
      <c r="Q30" s="195">
        <f t="shared" si="0"/>
        <v>1628.6101368606628</v>
      </c>
      <c r="R30" s="195">
        <f t="shared" si="0"/>
        <v>1733.8997822087047</v>
      </c>
      <c r="S30" s="195">
        <f t="shared" si="0"/>
        <v>1845.9964031284974</v>
      </c>
      <c r="T30" s="195">
        <f t="shared" si="0"/>
        <v>1965.340070590755</v>
      </c>
      <c r="U30" s="195">
        <f t="shared" si="0"/>
        <v>2092.3993061544475</v>
      </c>
      <c r="V30" s="195">
        <f t="shared" si="0"/>
        <v>2227.6729212973323</v>
      </c>
      <c r="W30" s="195">
        <f t="shared" si="0"/>
        <v>2371.691975659205</v>
      </c>
      <c r="X30" s="195">
        <f t="shared" si="0"/>
        <v>2525.021861885573</v>
      </c>
      <c r="Y30" s="195">
        <f t="shared" si="0"/>
        <v>2688.2645252564753</v>
      </c>
      <c r="Z30" s="195">
        <f t="shared" si="0"/>
        <v>2862.060826814306</v>
      </c>
      <c r="AA30" s="195">
        <f t="shared" si="0"/>
        <v>3047.0930592678515</v>
      </c>
      <c r="AB30" s="195">
        <f t="shared" si="0"/>
        <v>3244.087625549518</v>
      </c>
    </row>
    <row r="31" spans="2:33" ht="12.75">
      <c r="B31" s="15" t="s">
        <v>38</v>
      </c>
      <c r="C31" s="3">
        <f>+C30</f>
        <v>1500</v>
      </c>
      <c r="D31" s="3">
        <f>+D30*(1+Main!$C$75)^-D22</f>
        <v>2095.584905660377</v>
      </c>
      <c r="E31" s="3">
        <f>+E30*(1+Main!$C$75)^-E22</f>
        <v>683.4757369170522</v>
      </c>
      <c r="F31" s="3">
        <f>+F30*(1+Main!$C$75)^-F22</f>
        <v>686.4740031214525</v>
      </c>
      <c r="G31" s="3">
        <f>+G30*(1+Main!$C$75)^-G22</f>
        <v>689.4854220974098</v>
      </c>
      <c r="H31" s="3">
        <f>+H30*(1+Main!$C$75)^-H22</f>
        <v>692.5100515434032</v>
      </c>
      <c r="I31" s="3">
        <f>+I30*(1+Main!$C$75)^-I22</f>
        <v>695.5479494110228</v>
      </c>
      <c r="J31" s="3">
        <f>+J30*(1+Main!$C$75)^-J22</f>
        <v>698.5991739060805</v>
      </c>
      <c r="K31" s="3">
        <f>+K30*(1+Main!$C$75)^-K22</f>
        <v>701.6637834897253</v>
      </c>
      <c r="L31" s="3">
        <f>+L30*(1+Main!$C$75)^-L22</f>
        <v>704.7418368795622</v>
      </c>
      <c r="M31" s="3">
        <f>+M30*(1+Main!$C$75)^-M22</f>
        <v>707.8333930507793</v>
      </c>
      <c r="N31" s="3">
        <f>+N30*(1+Main!$C$75)^-N22</f>
        <v>710.9385112372755</v>
      </c>
      <c r="O31" s="3">
        <f>+O30*(1+Main!$C$75)^-O22</f>
        <v>2204.965341663799</v>
      </c>
      <c r="P31" s="3">
        <f>+P30*(1+Main!$C$75)^-P22</f>
        <v>717.1896718920782</v>
      </c>
      <c r="Q31" s="3">
        <f>+Q30*(1+Main!$C$75)^-Q22</f>
        <v>720.3358341319822</v>
      </c>
      <c r="R31" s="3">
        <f>+R30*(1+Main!$C$75)^-R22</f>
        <v>723.4957979326554</v>
      </c>
      <c r="S31" s="3">
        <f>+S30*(1+Main!$C$75)^-S22</f>
        <v>726.6696238386809</v>
      </c>
      <c r="T31" s="3">
        <f>+T30*(1+Main!$C$75)^-T22</f>
        <v>729.8573726602373</v>
      </c>
      <c r="U31" s="3">
        <f>+U30*(1+Main!$C$75)^-U22</f>
        <v>733.0591054742658</v>
      </c>
      <c r="V31" s="3">
        <f>+V30*(1+Main!$C$75)^-V22</f>
        <v>736.2748836256386</v>
      </c>
      <c r="W31" s="3">
        <f>+W30*(1+Main!$C$75)^-W22</f>
        <v>739.5047687283361</v>
      </c>
      <c r="X31" s="3">
        <f>+X30*(1+Main!$C$75)^-X22</f>
        <v>742.7488226666254</v>
      </c>
      <c r="Y31" s="3">
        <f>+Y30*(1+Main!$C$75)^-Y22</f>
        <v>746.0071075962478</v>
      </c>
      <c r="Z31" s="3">
        <f>+Z30*(1+Main!$C$75)^-Z22</f>
        <v>749.2796859456085</v>
      </c>
      <c r="AA31" s="3">
        <f>+AA30*(1+Main!$C$75)^-AA22</f>
        <v>752.5666204169739</v>
      </c>
      <c r="AB31" s="3">
        <f>+AB30*(1+Main!$C$75)^-AB22</f>
        <v>755.867973987671</v>
      </c>
      <c r="AC31" s="3"/>
      <c r="AD31" s="3"/>
      <c r="AE31" s="3"/>
      <c r="AF31" s="3"/>
      <c r="AG31" s="3"/>
    </row>
    <row r="32" spans="2:33" s="13" customFormat="1" ht="12.75">
      <c r="B32" s="97" t="s">
        <v>39</v>
      </c>
      <c r="C32" s="195">
        <f>+C30</f>
        <v>1500</v>
      </c>
      <c r="D32" s="195">
        <f>D30+C32</f>
        <v>3721.3199999999997</v>
      </c>
      <c r="E32" s="195">
        <f aca="true" t="shared" si="1" ref="E32:AB32">E30+D32</f>
        <v>4489.273338</v>
      </c>
      <c r="F32" s="195">
        <f t="shared" si="1"/>
        <v>5306.8748593017</v>
      </c>
      <c r="G32" s="195">
        <f t="shared" si="1"/>
        <v>6177.334318955554</v>
      </c>
      <c r="H32" s="195">
        <f t="shared" si="1"/>
        <v>7104.068982676031</v>
      </c>
      <c r="I32" s="195">
        <f t="shared" si="1"/>
        <v>8090.717042406037</v>
      </c>
      <c r="J32" s="195">
        <f t="shared" si="1"/>
        <v>9141.151899197588</v>
      </c>
      <c r="K32" s="195">
        <f t="shared" si="1"/>
        <v>10259.497369480712</v>
      </c>
      <c r="L32" s="195">
        <f t="shared" si="1"/>
        <v>11450.143874417641</v>
      </c>
      <c r="M32" s="195">
        <f t="shared" si="1"/>
        <v>12717.765675898743</v>
      </c>
      <c r="N32" s="195">
        <f t="shared" si="1"/>
        <v>14067.339226845597</v>
      </c>
      <c r="O32" s="195">
        <f t="shared" si="1"/>
        <v>18504.162707861164</v>
      </c>
      <c r="P32" s="195">
        <f t="shared" si="1"/>
        <v>20033.87682692439</v>
      </c>
      <c r="Q32" s="195">
        <f t="shared" si="1"/>
        <v>21662.48696378505</v>
      </c>
      <c r="R32" s="195">
        <f t="shared" si="1"/>
        <v>23396.386745993754</v>
      </c>
      <c r="S32" s="195">
        <f t="shared" si="1"/>
        <v>25242.38314912225</v>
      </c>
      <c r="T32" s="195">
        <f t="shared" si="1"/>
        <v>27207.723219713007</v>
      </c>
      <c r="U32" s="195">
        <f t="shared" si="1"/>
        <v>29300.122525867453</v>
      </c>
      <c r="V32" s="195">
        <f t="shared" si="1"/>
        <v>31527.795447164786</v>
      </c>
      <c r="W32" s="195">
        <f t="shared" si="1"/>
        <v>33899.48742282399</v>
      </c>
      <c r="X32" s="195">
        <f t="shared" si="1"/>
        <v>36424.509284709566</v>
      </c>
      <c r="Y32" s="195">
        <f t="shared" si="1"/>
        <v>39112.77380996604</v>
      </c>
      <c r="Z32" s="195">
        <f t="shared" si="1"/>
        <v>41974.834636780346</v>
      </c>
      <c r="AA32" s="195">
        <f t="shared" si="1"/>
        <v>45021.927696048195</v>
      </c>
      <c r="AB32" s="195">
        <f t="shared" si="1"/>
        <v>48266.01532159771</v>
      </c>
      <c r="AC32" s="195"/>
      <c r="AD32" s="195"/>
      <c r="AE32" s="195"/>
      <c r="AF32" s="195"/>
      <c r="AG32" s="195"/>
    </row>
    <row r="33" spans="2:33" ht="12.75">
      <c r="B33" s="15" t="s">
        <v>40</v>
      </c>
      <c r="C33" s="3">
        <f>+C31</f>
        <v>1500</v>
      </c>
      <c r="D33" s="3">
        <f>+C33+D31</f>
        <v>3595.584905660377</v>
      </c>
      <c r="E33" s="3">
        <f aca="true" t="shared" si="2" ref="E33:AB33">+D33+E31</f>
        <v>4279.0606425774295</v>
      </c>
      <c r="F33" s="3">
        <f t="shared" si="2"/>
        <v>4965.534645698882</v>
      </c>
      <c r="G33" s="3">
        <f t="shared" si="2"/>
        <v>5655.020067796291</v>
      </c>
      <c r="H33" s="3">
        <f t="shared" si="2"/>
        <v>6347.5301193396945</v>
      </c>
      <c r="I33" s="3">
        <f t="shared" si="2"/>
        <v>7043.078068750718</v>
      </c>
      <c r="J33" s="3">
        <f t="shared" si="2"/>
        <v>7741.677242656799</v>
      </c>
      <c r="K33" s="3">
        <f t="shared" si="2"/>
        <v>8443.341026146523</v>
      </c>
      <c r="L33" s="3">
        <f t="shared" si="2"/>
        <v>9148.082863026086</v>
      </c>
      <c r="M33" s="3">
        <f t="shared" si="2"/>
        <v>9855.916256076865</v>
      </c>
      <c r="N33" s="3">
        <f t="shared" si="2"/>
        <v>10566.85476731414</v>
      </c>
      <c r="O33" s="3">
        <f t="shared" si="2"/>
        <v>12771.82010897794</v>
      </c>
      <c r="P33" s="3">
        <f t="shared" si="2"/>
        <v>13489.009780870017</v>
      </c>
      <c r="Q33" s="3">
        <f t="shared" si="2"/>
        <v>14209.345615002</v>
      </c>
      <c r="R33" s="3">
        <f t="shared" si="2"/>
        <v>14932.841412934655</v>
      </c>
      <c r="S33" s="3">
        <f t="shared" si="2"/>
        <v>15659.511036773336</v>
      </c>
      <c r="T33" s="3">
        <f t="shared" si="2"/>
        <v>16389.368409433573</v>
      </c>
      <c r="U33" s="3">
        <f t="shared" si="2"/>
        <v>17122.42751490784</v>
      </c>
      <c r="V33" s="3">
        <f t="shared" si="2"/>
        <v>17858.702398533478</v>
      </c>
      <c r="W33" s="3">
        <f t="shared" si="2"/>
        <v>18598.207167261815</v>
      </c>
      <c r="X33" s="3">
        <f t="shared" si="2"/>
        <v>19340.95598992844</v>
      </c>
      <c r="Y33" s="3">
        <f t="shared" si="2"/>
        <v>20086.963097524687</v>
      </c>
      <c r="Z33" s="3">
        <f t="shared" si="2"/>
        <v>20836.242783470298</v>
      </c>
      <c r="AA33" s="3">
        <f t="shared" si="2"/>
        <v>21588.809403887273</v>
      </c>
      <c r="AB33" s="3">
        <f t="shared" si="2"/>
        <v>22344.677377874945</v>
      </c>
      <c r="AC33" s="3"/>
      <c r="AD33" s="3"/>
      <c r="AE33" s="3"/>
      <c r="AF33" s="3"/>
      <c r="AG33" s="3"/>
    </row>
    <row r="34" spans="2:3" ht="12.75">
      <c r="B34" s="15"/>
      <c r="C34" s="2"/>
    </row>
    <row r="36" spans="2:3" ht="12.75">
      <c r="B36" s="15" t="s">
        <v>42</v>
      </c>
      <c r="C36" s="2">
        <f>+AA33</f>
        <v>21588.809403887273</v>
      </c>
    </row>
    <row r="37" spans="2:3" ht="12.75">
      <c r="B37" s="15" t="s">
        <v>41</v>
      </c>
      <c r="C37" s="102">
        <f>Main!C75</f>
        <v>0.06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6"/>
  <sheetViews>
    <sheetView zoomScalePageLayoutView="0" workbookViewId="0" topLeftCell="A1">
      <selection activeCell="H16" sqref="H16"/>
    </sheetView>
  </sheetViews>
  <sheetFormatPr defaultColWidth="9.140625" defaultRowHeight="12.75"/>
  <cols>
    <col min="2" max="2" width="16.28125" style="0" customWidth="1"/>
  </cols>
  <sheetData>
    <row r="3" ht="12.75">
      <c r="B3" t="s">
        <v>291</v>
      </c>
    </row>
    <row r="5" ht="12.75">
      <c r="B5" t="s">
        <v>262</v>
      </c>
    </row>
    <row r="7" spans="2:14" ht="12.75">
      <c r="B7" t="s">
        <v>282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 t="s">
        <v>294</v>
      </c>
    </row>
    <row r="8" spans="1:3" ht="12.75">
      <c r="A8" s="6">
        <v>1</v>
      </c>
      <c r="B8" t="s">
        <v>225</v>
      </c>
      <c r="C8" s="102">
        <v>1</v>
      </c>
    </row>
    <row r="9" spans="1:14" ht="12.75">
      <c r="A9" s="6">
        <v>5</v>
      </c>
      <c r="B9" t="s">
        <v>292</v>
      </c>
      <c r="C9" s="7">
        <v>0.2</v>
      </c>
      <c r="D9" s="7">
        <v>0.32</v>
      </c>
      <c r="E9" s="7">
        <v>0.192</v>
      </c>
      <c r="F9" s="7">
        <v>0.1152</v>
      </c>
      <c r="G9" s="7">
        <v>0.1152</v>
      </c>
      <c r="H9" s="7">
        <v>0.0576</v>
      </c>
      <c r="I9" s="7"/>
      <c r="J9" s="7"/>
      <c r="K9" s="7"/>
      <c r="L9" s="7"/>
      <c r="M9" s="7"/>
      <c r="N9" s="8">
        <f>SUM(C9:M9)</f>
        <v>0.9999999999999999</v>
      </c>
    </row>
    <row r="10" spans="1:15" ht="12.75">
      <c r="A10" s="6" t="s">
        <v>227</v>
      </c>
      <c r="B10" t="s">
        <v>226</v>
      </c>
      <c r="C10" s="101">
        <v>0.6</v>
      </c>
      <c r="D10" s="101">
        <v>0.16</v>
      </c>
      <c r="E10" s="8">
        <v>0.096</v>
      </c>
      <c r="F10" s="8">
        <v>0.0576</v>
      </c>
      <c r="G10" s="8">
        <v>0.0576</v>
      </c>
      <c r="H10" s="8">
        <v>0.0288</v>
      </c>
      <c r="I10" s="7"/>
      <c r="J10" s="7"/>
      <c r="K10" s="7"/>
      <c r="L10" s="7"/>
      <c r="M10" s="7"/>
      <c r="N10" s="8">
        <f>SUM(C10:M10)</f>
        <v>1</v>
      </c>
      <c r="O10" t="s">
        <v>224</v>
      </c>
    </row>
    <row r="11" spans="1:14" ht="12.75">
      <c r="A11" s="6">
        <v>7</v>
      </c>
      <c r="B11" t="s">
        <v>293</v>
      </c>
      <c r="C11" s="7">
        <v>0.1429</v>
      </c>
      <c r="D11" s="7">
        <v>0.2449</v>
      </c>
      <c r="E11" s="7">
        <v>0.1749</v>
      </c>
      <c r="F11" s="7">
        <v>0.1249</v>
      </c>
      <c r="G11" s="7">
        <v>0.0893</v>
      </c>
      <c r="H11" s="7">
        <v>0.0892</v>
      </c>
      <c r="I11" s="7">
        <v>0.0893</v>
      </c>
      <c r="J11" s="7">
        <v>0.0446</v>
      </c>
      <c r="K11" s="7"/>
      <c r="L11" s="7"/>
      <c r="M11" s="7"/>
      <c r="N11" s="8">
        <f>SUM(C11:M11)</f>
        <v>1.0000000000000002</v>
      </c>
    </row>
    <row r="12" spans="1:14" ht="12.75">
      <c r="A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5" ht="12.75">
      <c r="B15" t="s">
        <v>229</v>
      </c>
    </row>
    <row r="16" spans="3:14" ht="12.75">
      <c r="C16" s="102">
        <f>IF(Main!$C$50=1,Depreciation!C8,IF(Main!C50="5B",Depreciation!C10,Depreciation!C9))</f>
        <v>0.2</v>
      </c>
      <c r="D16" s="102">
        <f>IF(Main!$C$50=1,Depreciation!D8,IF(Main!$C$50="5B",Depreciation!D10,Depreciation!D9))</f>
        <v>0.32</v>
      </c>
      <c r="E16" s="102">
        <f>IF(Main!$C$50=1,Depreciation!E8,IF(Main!$C$50="5B",Depreciation!E10,Depreciation!E9))</f>
        <v>0.192</v>
      </c>
      <c r="F16" s="102">
        <f>IF(Main!$C$50=1,Depreciation!F8,IF(Main!$C$50="5B",Depreciation!F10,Depreciation!F9))</f>
        <v>0.1152</v>
      </c>
      <c r="G16" s="102">
        <f>IF(Main!$C$50=1,Depreciation!G8,IF(Main!$C$50="5B",Depreciation!G10,Depreciation!G9))</f>
        <v>0.1152</v>
      </c>
      <c r="H16" s="102">
        <f>IF(Main!$C$50=1,Depreciation!H8,IF(Main!$C$50="5B",Depreciation!H10,Depreciation!H9))</f>
        <v>0.0576</v>
      </c>
      <c r="I16" s="102">
        <f>IF(Main!$C$50=1,Depreciation!I8,IF(Main!$C$50="5B",Depreciation!I10,Depreciation!I9))</f>
        <v>0</v>
      </c>
      <c r="J16" s="102">
        <f>IF(Main!$C$50=1,Depreciation!J8,IF(Main!$C$50="5B",Depreciation!J10,Depreciation!J9))</f>
        <v>0</v>
      </c>
      <c r="K16" s="102">
        <f>IF(Main!$C$50=1,Depreciation!K8,IF(Main!$C$50="5B",Depreciation!K10,Depreciation!K9))</f>
        <v>0</v>
      </c>
      <c r="L16" s="102">
        <f>IF(Main!$C$50=1,Depreciation!L8,IF(Main!$C$50="5B",Depreciation!L10,Depreciation!L9))</f>
        <v>0</v>
      </c>
      <c r="M16" s="102">
        <f>IF(Main!$C$50=1,Depreciation!M8,IF(Main!$C$50="5B",Depreciation!M10,Depreciation!M9))</f>
        <v>0</v>
      </c>
      <c r="N16" s="8">
        <f>SUM(C16:M16)</f>
        <v>0.9999999999999999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H20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3" width="22.421875" style="0" customWidth="1"/>
    <col min="4" max="9" width="10.8515625" style="0" bestFit="1" customWidth="1"/>
    <col min="10" max="14" width="9.28125" style="0" bestFit="1" customWidth="1"/>
    <col min="15" max="23" width="10.28125" style="0" bestFit="1" customWidth="1"/>
  </cols>
  <sheetData>
    <row r="2" spans="2:33" ht="12.75">
      <c r="B2" s="15" t="s">
        <v>282</v>
      </c>
      <c r="C2" s="15">
        <v>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f aca="true" t="shared" si="0" ref="X2:AG2">+W2+1</f>
        <v>21</v>
      </c>
      <c r="Y2">
        <f t="shared" si="0"/>
        <v>22</v>
      </c>
      <c r="Z2">
        <f t="shared" si="0"/>
        <v>23</v>
      </c>
      <c r="AA2">
        <f t="shared" si="0"/>
        <v>24</v>
      </c>
      <c r="AB2">
        <f t="shared" si="0"/>
        <v>25</v>
      </c>
      <c r="AC2">
        <f t="shared" si="0"/>
        <v>26</v>
      </c>
      <c r="AD2">
        <f t="shared" si="0"/>
        <v>27</v>
      </c>
      <c r="AE2">
        <f t="shared" si="0"/>
        <v>28</v>
      </c>
      <c r="AF2">
        <f t="shared" si="0"/>
        <v>29</v>
      </c>
      <c r="AG2">
        <f t="shared" si="0"/>
        <v>30</v>
      </c>
    </row>
    <row r="3" spans="2:34" ht="12.75">
      <c r="B3" s="15" t="s">
        <v>286</v>
      </c>
      <c r="C3" s="2">
        <f>+Main!C152</f>
        <v>-25999.425</v>
      </c>
      <c r="D3" s="2">
        <f>+Main!D152</f>
        <v>-22278.105</v>
      </c>
      <c r="E3" s="2">
        <f>+Main!E152</f>
        <v>-21510.151662</v>
      </c>
      <c r="F3" s="2">
        <f>+Main!F152</f>
        <v>-20692.5501406983</v>
      </c>
      <c r="G3" s="2">
        <f>+Main!G152</f>
        <v>-19822.090681044443</v>
      </c>
      <c r="H3" s="2">
        <f>+Main!H152</f>
        <v>-18895.356017323968</v>
      </c>
      <c r="I3" s="2">
        <f>+Main!I152</f>
        <v>-17908.70795759396</v>
      </c>
      <c r="J3" s="2">
        <f>+Main!J152</f>
        <v>-16858.27310080241</v>
      </c>
      <c r="K3" s="2">
        <f>+Main!K152</f>
        <v>-15739.927630519285</v>
      </c>
      <c r="L3" s="2">
        <f>+Main!L152</f>
        <v>-14549.281125582356</v>
      </c>
      <c r="M3" s="2">
        <f>+Main!M152</f>
        <v>-13281.659324101256</v>
      </c>
      <c r="N3" s="2">
        <f>+Main!N152</f>
        <v>-11932.085773154402</v>
      </c>
      <c r="O3" s="2">
        <f>+Main!O152</f>
        <v>-7495.262292138834</v>
      </c>
      <c r="P3" s="2">
        <f>+Main!P152</f>
        <v>-5965.548173075609</v>
      </c>
      <c r="Q3" s="2">
        <f>+Main!Q152</f>
        <v>-4336.938036214946</v>
      </c>
      <c r="R3" s="2">
        <f>+Main!R152</f>
        <v>-2603.038254006241</v>
      </c>
      <c r="S3" s="2">
        <f>+Main!S152</f>
        <v>-757.0418508777436</v>
      </c>
      <c r="T3" s="2">
        <f>+Main!T152</f>
        <v>1208.2982197130113</v>
      </c>
      <c r="U3" s="2">
        <f>+Main!U152</f>
        <v>3300.697525867459</v>
      </c>
      <c r="V3" s="2">
        <f>+Main!V152</f>
        <v>5528.370447164791</v>
      </c>
      <c r="W3" s="2">
        <f>+Main!W152</f>
        <v>7900.062422823996</v>
      </c>
      <c r="X3" s="2">
        <f>+Main!X152</f>
        <v>10425.084284709568</v>
      </c>
      <c r="Y3" s="2">
        <f>+Main!Y152</f>
        <v>13113.348809966043</v>
      </c>
      <c r="Z3" s="2">
        <f>+Main!Z152</f>
        <v>15975.409636780349</v>
      </c>
      <c r="AA3" s="2">
        <f>+Main!AA152</f>
        <v>19022.5026960482</v>
      </c>
      <c r="AB3" s="2">
        <f>+Main!AB152</f>
        <v>22266.590321597716</v>
      </c>
      <c r="AC3" s="2">
        <f>+Main!AC152</f>
        <v>25720.40821213901</v>
      </c>
      <c r="AD3" s="2">
        <f>+Main!AD152</f>
        <v>29397.5154293038</v>
      </c>
      <c r="AE3" s="2">
        <f>+Main!AE152</f>
        <v>33312.34762805829</v>
      </c>
      <c r="AF3" s="2">
        <f>+Main!AF152</f>
        <v>37480.27372846226</v>
      </c>
      <c r="AG3" s="2">
        <f>+Main!AG152</f>
        <v>41917.65625125735</v>
      </c>
      <c r="AH3" s="2"/>
    </row>
    <row r="4" spans="4:33" ht="12.75">
      <c r="D4" t="str">
        <f>IF(C3&gt;0,D2,"no")</f>
        <v>no</v>
      </c>
      <c r="E4" t="str">
        <f aca="true" t="shared" si="1" ref="E4:AG4">IF(E3&gt;0,E2,"no")</f>
        <v>no</v>
      </c>
      <c r="F4" t="str">
        <f t="shared" si="1"/>
        <v>no</v>
      </c>
      <c r="G4" t="str">
        <f t="shared" si="1"/>
        <v>no</v>
      </c>
      <c r="H4" t="str">
        <f t="shared" si="1"/>
        <v>no</v>
      </c>
      <c r="I4" t="str">
        <f t="shared" si="1"/>
        <v>no</v>
      </c>
      <c r="J4" t="str">
        <f t="shared" si="1"/>
        <v>no</v>
      </c>
      <c r="K4" t="str">
        <f t="shared" si="1"/>
        <v>no</v>
      </c>
      <c r="L4" t="str">
        <f t="shared" si="1"/>
        <v>no</v>
      </c>
      <c r="M4" t="str">
        <f t="shared" si="1"/>
        <v>no</v>
      </c>
      <c r="N4" t="str">
        <f t="shared" si="1"/>
        <v>no</v>
      </c>
      <c r="O4" t="str">
        <f t="shared" si="1"/>
        <v>no</v>
      </c>
      <c r="P4" t="str">
        <f t="shared" si="1"/>
        <v>no</v>
      </c>
      <c r="Q4" t="str">
        <f t="shared" si="1"/>
        <v>no</v>
      </c>
      <c r="R4" t="str">
        <f t="shared" si="1"/>
        <v>no</v>
      </c>
      <c r="S4" t="str">
        <f t="shared" si="1"/>
        <v>no</v>
      </c>
      <c r="T4">
        <f t="shared" si="1"/>
        <v>17</v>
      </c>
      <c r="U4">
        <f t="shared" si="1"/>
        <v>18</v>
      </c>
      <c r="V4">
        <f t="shared" si="1"/>
        <v>19</v>
      </c>
      <c r="W4">
        <f t="shared" si="1"/>
        <v>20</v>
      </c>
      <c r="X4">
        <f t="shared" si="1"/>
        <v>21</v>
      </c>
      <c r="Y4">
        <f t="shared" si="1"/>
        <v>22</v>
      </c>
      <c r="Z4">
        <f t="shared" si="1"/>
        <v>23</v>
      </c>
      <c r="AA4">
        <f t="shared" si="1"/>
        <v>24</v>
      </c>
      <c r="AB4">
        <f t="shared" si="1"/>
        <v>25</v>
      </c>
      <c r="AC4">
        <f t="shared" si="1"/>
        <v>26</v>
      </c>
      <c r="AD4">
        <f t="shared" si="1"/>
        <v>27</v>
      </c>
      <c r="AE4">
        <f t="shared" si="1"/>
        <v>28</v>
      </c>
      <c r="AF4">
        <f t="shared" si="1"/>
        <v>29</v>
      </c>
      <c r="AG4">
        <f t="shared" si="1"/>
        <v>30</v>
      </c>
    </row>
    <row r="9" spans="2:3" ht="12.75">
      <c r="B9" t="s">
        <v>74</v>
      </c>
      <c r="C9">
        <f>MIN(D4:AG4)</f>
        <v>17</v>
      </c>
    </row>
    <row r="13" spans="2:33" ht="12.75">
      <c r="B13" s="15" t="s">
        <v>282</v>
      </c>
      <c r="C13" s="15">
        <v>0</v>
      </c>
      <c r="D13">
        <v>1</v>
      </c>
      <c r="E13">
        <v>2</v>
      </c>
      <c r="F13">
        <v>3</v>
      </c>
      <c r="G13">
        <v>4</v>
      </c>
      <c r="H13">
        <v>5</v>
      </c>
      <c r="I13">
        <v>6</v>
      </c>
      <c r="J13">
        <v>7</v>
      </c>
      <c r="K13">
        <v>8</v>
      </c>
      <c r="L13">
        <v>9</v>
      </c>
      <c r="M13">
        <v>10</v>
      </c>
      <c r="N13">
        <v>11</v>
      </c>
      <c r="O13">
        <v>12</v>
      </c>
      <c r="P13">
        <v>13</v>
      </c>
      <c r="Q13">
        <v>14</v>
      </c>
      <c r="R13">
        <v>15</v>
      </c>
      <c r="S13">
        <v>16</v>
      </c>
      <c r="T13">
        <v>17</v>
      </c>
      <c r="U13">
        <v>18</v>
      </c>
      <c r="V13">
        <v>19</v>
      </c>
      <c r="W13">
        <v>20</v>
      </c>
      <c r="X13">
        <f aca="true" t="shared" si="2" ref="X13:AG13">+W13+1</f>
        <v>21</v>
      </c>
      <c r="Y13">
        <f t="shared" si="2"/>
        <v>22</v>
      </c>
      <c r="Z13">
        <f t="shared" si="2"/>
        <v>23</v>
      </c>
      <c r="AA13">
        <f t="shared" si="2"/>
        <v>24</v>
      </c>
      <c r="AB13">
        <f t="shared" si="2"/>
        <v>25</v>
      </c>
      <c r="AC13">
        <f t="shared" si="2"/>
        <v>26</v>
      </c>
      <c r="AD13">
        <f t="shared" si="2"/>
        <v>27</v>
      </c>
      <c r="AE13">
        <f t="shared" si="2"/>
        <v>28</v>
      </c>
      <c r="AF13">
        <f t="shared" si="2"/>
        <v>29</v>
      </c>
      <c r="AG13">
        <f t="shared" si="2"/>
        <v>30</v>
      </c>
    </row>
    <row r="14" spans="2:33" ht="12.75">
      <c r="B14" t="str">
        <f>Main!B153</f>
        <v>Discounted Cummulative Cash Flow</v>
      </c>
      <c r="C14">
        <f>Main!C153</f>
        <v>-25999.425</v>
      </c>
      <c r="D14">
        <f>Main!D153</f>
        <v>-22488.74575471698</v>
      </c>
      <c r="E14">
        <f>Main!E153</f>
        <v>-21805.27001779993</v>
      </c>
      <c r="F14">
        <f>Main!F153</f>
        <v>-21118.796014678475</v>
      </c>
      <c r="G14">
        <f>Main!G153</f>
        <v>-20429.310592581067</v>
      </c>
      <c r="H14">
        <f>Main!H153</f>
        <v>-19736.800541037665</v>
      </c>
      <c r="I14">
        <f>Main!I153</f>
        <v>-19041.252591626642</v>
      </c>
      <c r="J14">
        <f>Main!J153</f>
        <v>-18342.65341772056</v>
      </c>
      <c r="K14">
        <f>Main!K153</f>
        <v>-17640.989634230835</v>
      </c>
      <c r="L14">
        <f>Main!L153</f>
        <v>-16936.247797351272</v>
      </c>
      <c r="M14">
        <f>Main!M153</f>
        <v>-16228.414404300493</v>
      </c>
      <c r="N14">
        <f>Main!N153</f>
        <v>-15517.475893063218</v>
      </c>
      <c r="O14">
        <f>Main!O153</f>
        <v>-13312.510551399419</v>
      </c>
      <c r="P14">
        <f>Main!P153</f>
        <v>-12595.32087950734</v>
      </c>
      <c r="Q14">
        <f>Main!Q153</f>
        <v>-11874.985045375359</v>
      </c>
      <c r="R14">
        <f>Main!R153</f>
        <v>-11151.489247442703</v>
      </c>
      <c r="S14">
        <f>Main!S153</f>
        <v>-10424.819623604022</v>
      </c>
      <c r="T14">
        <f>Main!T153</f>
        <v>-9694.962250943785</v>
      </c>
      <c r="U14">
        <f>Main!U153</f>
        <v>-8961.90314546952</v>
      </c>
      <c r="V14">
        <f>Main!V153</f>
        <v>-8225.628261843882</v>
      </c>
      <c r="W14">
        <f>Main!W153</f>
        <v>-7486.123493115546</v>
      </c>
      <c r="X14">
        <f>Main!X153</f>
        <v>-6743.37467044892</v>
      </c>
      <c r="Y14">
        <f>Main!Y153</f>
        <v>-5997.367562852673</v>
      </c>
      <c r="Z14">
        <f>Main!Z153</f>
        <v>-5248.087876907064</v>
      </c>
      <c r="AA14">
        <f>Main!AA153</f>
        <v>-4495.52125649009</v>
      </c>
      <c r="AB14">
        <f>Main!AB153</f>
        <v>-3739.653282502419</v>
      </c>
      <c r="AC14">
        <f>Main!AC153</f>
        <v>-2980.469472591123</v>
      </c>
      <c r="AD14">
        <f>Main!AD153</f>
        <v>-2217.9552808721974</v>
      </c>
      <c r="AE14">
        <f>Main!AE153</f>
        <v>-1452.096097651863</v>
      </c>
      <c r="AF14">
        <f>Main!AF153</f>
        <v>-682.877249146647</v>
      </c>
      <c r="AG14">
        <f>Main!AG153</f>
        <v>89.71600279776612</v>
      </c>
    </row>
    <row r="15" spans="4:33" ht="12.75">
      <c r="D15" t="str">
        <f>IF(C14&gt;0,D13,"no")</f>
        <v>no</v>
      </c>
      <c r="E15" t="str">
        <f aca="true" t="shared" si="3" ref="E15:AG15">IF(E14&gt;0,E13,"no")</f>
        <v>no</v>
      </c>
      <c r="F15" t="str">
        <f t="shared" si="3"/>
        <v>no</v>
      </c>
      <c r="G15" t="str">
        <f t="shared" si="3"/>
        <v>no</v>
      </c>
      <c r="H15" t="str">
        <f t="shared" si="3"/>
        <v>no</v>
      </c>
      <c r="I15" t="str">
        <f t="shared" si="3"/>
        <v>no</v>
      </c>
      <c r="J15" t="str">
        <f t="shared" si="3"/>
        <v>no</v>
      </c>
      <c r="K15" t="str">
        <f t="shared" si="3"/>
        <v>no</v>
      </c>
      <c r="L15" t="str">
        <f t="shared" si="3"/>
        <v>no</v>
      </c>
      <c r="M15" t="str">
        <f t="shared" si="3"/>
        <v>no</v>
      </c>
      <c r="N15" t="str">
        <f t="shared" si="3"/>
        <v>no</v>
      </c>
      <c r="O15" t="str">
        <f t="shared" si="3"/>
        <v>no</v>
      </c>
      <c r="P15" t="str">
        <f t="shared" si="3"/>
        <v>no</v>
      </c>
      <c r="Q15" t="str">
        <f t="shared" si="3"/>
        <v>no</v>
      </c>
      <c r="R15" t="str">
        <f t="shared" si="3"/>
        <v>no</v>
      </c>
      <c r="S15" t="str">
        <f t="shared" si="3"/>
        <v>no</v>
      </c>
      <c r="T15" t="str">
        <f t="shared" si="3"/>
        <v>no</v>
      </c>
      <c r="U15" t="str">
        <f t="shared" si="3"/>
        <v>no</v>
      </c>
      <c r="V15" t="str">
        <f t="shared" si="3"/>
        <v>no</v>
      </c>
      <c r="W15" t="str">
        <f t="shared" si="3"/>
        <v>no</v>
      </c>
      <c r="X15" t="str">
        <f t="shared" si="3"/>
        <v>no</v>
      </c>
      <c r="Y15" t="str">
        <f t="shared" si="3"/>
        <v>no</v>
      </c>
      <c r="Z15" t="str">
        <f t="shared" si="3"/>
        <v>no</v>
      </c>
      <c r="AA15" t="str">
        <f t="shared" si="3"/>
        <v>no</v>
      </c>
      <c r="AB15" t="str">
        <f t="shared" si="3"/>
        <v>no</v>
      </c>
      <c r="AC15" t="str">
        <f t="shared" si="3"/>
        <v>no</v>
      </c>
      <c r="AD15" t="str">
        <f t="shared" si="3"/>
        <v>no</v>
      </c>
      <c r="AE15" t="str">
        <f t="shared" si="3"/>
        <v>no</v>
      </c>
      <c r="AF15" t="str">
        <f t="shared" si="3"/>
        <v>no</v>
      </c>
      <c r="AG15">
        <f t="shared" si="3"/>
        <v>30</v>
      </c>
    </row>
    <row r="20" spans="2:3" ht="12.75">
      <c r="B20" t="s">
        <v>5</v>
      </c>
      <c r="C20">
        <f>MIN(D15:AG15)</f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42">
      <selection activeCell="A28" sqref="A28"/>
    </sheetView>
  </sheetViews>
  <sheetFormatPr defaultColWidth="9.140625" defaultRowHeight="12.75"/>
  <cols>
    <col min="1" max="1" width="44.7109375" style="0" customWidth="1"/>
    <col min="2" max="31" width="10.28125" style="0" bestFit="1" customWidth="1"/>
  </cols>
  <sheetData>
    <row r="1" ht="12.75">
      <c r="A1" s="13" t="s">
        <v>321</v>
      </c>
    </row>
    <row r="3" spans="1:2" ht="12.75">
      <c r="A3" t="s">
        <v>313</v>
      </c>
      <c r="B3" s="36">
        <f>+Main!C34</f>
        <v>0.12</v>
      </c>
    </row>
    <row r="4" spans="1:2" ht="12.75">
      <c r="A4" t="s">
        <v>314</v>
      </c>
      <c r="B4">
        <f>+Main!C35</f>
        <v>0.07</v>
      </c>
    </row>
    <row r="7" spans="1:31" ht="12.75">
      <c r="A7" t="s">
        <v>215</v>
      </c>
      <c r="B7" t="str">
        <f>IF(Main!C42="Y","YES","NO")</f>
        <v>NO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ht="12.75">
      <c r="A8" t="s">
        <v>218</v>
      </c>
      <c r="B8" s="31">
        <f>IF(B7="YES",IF((Main!C25*Main!C71)/Main!C44&lt;=1,1,Main!C44/(Main!C25*Main!C71)),0)</f>
        <v>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10" spans="1:31" ht="12.75">
      <c r="A10" t="s">
        <v>315</v>
      </c>
      <c r="B10">
        <v>1</v>
      </c>
      <c r="C10">
        <f>+B10+1</f>
        <v>2</v>
      </c>
      <c r="D10">
        <f aca="true" t="shared" si="0" ref="D10:AE10">+C10+1</f>
        <v>3</v>
      </c>
      <c r="E10">
        <f t="shared" si="0"/>
        <v>4</v>
      </c>
      <c r="F10">
        <f t="shared" si="0"/>
        <v>5</v>
      </c>
      <c r="G10">
        <f t="shared" si="0"/>
        <v>6</v>
      </c>
      <c r="H10">
        <f t="shared" si="0"/>
        <v>7</v>
      </c>
      <c r="I10">
        <f t="shared" si="0"/>
        <v>8</v>
      </c>
      <c r="J10">
        <f t="shared" si="0"/>
        <v>9</v>
      </c>
      <c r="K10">
        <f t="shared" si="0"/>
        <v>10</v>
      </c>
      <c r="L10">
        <f t="shared" si="0"/>
        <v>11</v>
      </c>
      <c r="M10">
        <f t="shared" si="0"/>
        <v>12</v>
      </c>
      <c r="N10">
        <f t="shared" si="0"/>
        <v>13</v>
      </c>
      <c r="O10">
        <f t="shared" si="0"/>
        <v>14</v>
      </c>
      <c r="P10">
        <f t="shared" si="0"/>
        <v>15</v>
      </c>
      <c r="Q10">
        <f t="shared" si="0"/>
        <v>16</v>
      </c>
      <c r="R10">
        <f t="shared" si="0"/>
        <v>17</v>
      </c>
      <c r="S10">
        <f t="shared" si="0"/>
        <v>18</v>
      </c>
      <c r="T10">
        <f t="shared" si="0"/>
        <v>19</v>
      </c>
      <c r="U10">
        <f t="shared" si="0"/>
        <v>20</v>
      </c>
      <c r="V10">
        <f t="shared" si="0"/>
        <v>21</v>
      </c>
      <c r="W10">
        <f t="shared" si="0"/>
        <v>22</v>
      </c>
      <c r="X10">
        <f t="shared" si="0"/>
        <v>23</v>
      </c>
      <c r="Y10">
        <f t="shared" si="0"/>
        <v>24</v>
      </c>
      <c r="Z10">
        <f t="shared" si="0"/>
        <v>25</v>
      </c>
      <c r="AA10">
        <f t="shared" si="0"/>
        <v>26</v>
      </c>
      <c r="AB10">
        <f t="shared" si="0"/>
        <v>27</v>
      </c>
      <c r="AC10">
        <f t="shared" si="0"/>
        <v>28</v>
      </c>
      <c r="AD10">
        <f t="shared" si="0"/>
        <v>29</v>
      </c>
      <c r="AE10">
        <f t="shared" si="0"/>
        <v>30</v>
      </c>
    </row>
    <row r="11" spans="1:31" ht="12.75">
      <c r="A11" t="s">
        <v>205</v>
      </c>
      <c r="B11">
        <f>IF(Main!$C$42="Y",Main!$C$43,0)</f>
        <v>0</v>
      </c>
      <c r="C11">
        <f>IF(Main!$C$42="Y",Main!$C$43,0)</f>
        <v>0</v>
      </c>
      <c r="D11">
        <f>IF(Main!$C$42="Y",Main!$C$43,0)</f>
        <v>0</v>
      </c>
      <c r="E11">
        <f>IF(Main!$C$42="Y",Main!$C$43,0)</f>
        <v>0</v>
      </c>
      <c r="F11">
        <f>IF(Main!$C$42="Y",Main!$C$43,0)</f>
        <v>0</v>
      </c>
      <c r="G11">
        <f>IF(Main!$C$42="Y",Main!$C$43,0)</f>
        <v>0</v>
      </c>
      <c r="H11">
        <f>IF(Main!$C$42="Y",Main!$C$43,0)</f>
        <v>0</v>
      </c>
      <c r="I11">
        <f>IF(Main!$C$42="Y",Main!$C$43,0)</f>
        <v>0</v>
      </c>
      <c r="J11">
        <f>IF(Main!$C$42="Y",Main!$C$43,0)</f>
        <v>0</v>
      </c>
      <c r="K11">
        <f>IF(Main!$C$42="Y",Main!$C$43,0)</f>
        <v>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11" ht="12.75">
      <c r="A12" t="s">
        <v>216</v>
      </c>
      <c r="B12" s="95">
        <f aca="true" t="shared" si="1" ref="B12:K12">+($B$8*B11)+((1-$B$8)*B13)</f>
        <v>0.12</v>
      </c>
      <c r="C12" s="95">
        <f t="shared" si="1"/>
        <v>0.12840000000000001</v>
      </c>
      <c r="D12" s="95">
        <f t="shared" si="1"/>
        <v>0.137388</v>
      </c>
      <c r="E12" s="95">
        <f t="shared" si="1"/>
        <v>0.14700516000000002</v>
      </c>
      <c r="F12" s="95">
        <f t="shared" si="1"/>
        <v>0.15729552120000004</v>
      </c>
      <c r="G12" s="95">
        <f t="shared" si="1"/>
        <v>0.16830620768400006</v>
      </c>
      <c r="H12" s="95">
        <f t="shared" si="1"/>
        <v>0.1800876422218801</v>
      </c>
      <c r="I12" s="95">
        <f t="shared" si="1"/>
        <v>0.1926937771774117</v>
      </c>
      <c r="J12" s="95">
        <f t="shared" si="1"/>
        <v>0.20618234157983054</v>
      </c>
      <c r="K12" s="95">
        <f t="shared" si="1"/>
        <v>0.22061510549041868</v>
      </c>
    </row>
    <row r="13" spans="1:31" ht="12.75">
      <c r="A13" t="s">
        <v>206</v>
      </c>
      <c r="B13" s="38">
        <f>+B3</f>
        <v>0.12</v>
      </c>
      <c r="C13" s="38">
        <f aca="true" t="shared" si="2" ref="C13:AE13">+B13*(1+$B$4)</f>
        <v>0.12840000000000001</v>
      </c>
      <c r="D13" s="38">
        <f t="shared" si="2"/>
        <v>0.137388</v>
      </c>
      <c r="E13" s="38">
        <f t="shared" si="2"/>
        <v>0.14700516000000002</v>
      </c>
      <c r="F13" s="38">
        <f t="shared" si="2"/>
        <v>0.15729552120000004</v>
      </c>
      <c r="G13" s="38">
        <f t="shared" si="2"/>
        <v>0.16830620768400006</v>
      </c>
      <c r="H13" s="38">
        <f t="shared" si="2"/>
        <v>0.1800876422218801</v>
      </c>
      <c r="I13" s="38">
        <f t="shared" si="2"/>
        <v>0.1926937771774117</v>
      </c>
      <c r="J13" s="38">
        <f t="shared" si="2"/>
        <v>0.20618234157983054</v>
      </c>
      <c r="K13" s="38">
        <f t="shared" si="2"/>
        <v>0.22061510549041868</v>
      </c>
      <c r="L13" s="38">
        <f t="shared" si="2"/>
        <v>0.236058162874748</v>
      </c>
      <c r="M13" s="38">
        <f t="shared" si="2"/>
        <v>0.25258223427598037</v>
      </c>
      <c r="N13" s="38">
        <f t="shared" si="2"/>
        <v>0.270262990675299</v>
      </c>
      <c r="O13" s="38">
        <f t="shared" si="2"/>
        <v>0.28918140002257</v>
      </c>
      <c r="P13" s="38">
        <f t="shared" si="2"/>
        <v>0.3094240980241499</v>
      </c>
      <c r="Q13" s="38">
        <f t="shared" si="2"/>
        <v>0.3310837848858404</v>
      </c>
      <c r="R13" s="38">
        <f t="shared" si="2"/>
        <v>0.35425964982784924</v>
      </c>
      <c r="S13" s="38">
        <f t="shared" si="2"/>
        <v>0.37905782531579874</v>
      </c>
      <c r="T13" s="38">
        <f t="shared" si="2"/>
        <v>0.4055918730879047</v>
      </c>
      <c r="U13" s="38">
        <f t="shared" si="2"/>
        <v>0.433983304204058</v>
      </c>
      <c r="V13" s="38">
        <f t="shared" si="2"/>
        <v>0.4643621354983421</v>
      </c>
      <c r="W13" s="38">
        <f t="shared" si="2"/>
        <v>0.4968674849832261</v>
      </c>
      <c r="X13" s="38">
        <f t="shared" si="2"/>
        <v>0.5316482089320519</v>
      </c>
      <c r="Y13" s="38">
        <f t="shared" si="2"/>
        <v>0.5688635835572956</v>
      </c>
      <c r="Z13" s="38">
        <f t="shared" si="2"/>
        <v>0.6086840344063064</v>
      </c>
      <c r="AA13" s="38">
        <f t="shared" si="2"/>
        <v>0.6512919168147479</v>
      </c>
      <c r="AB13" s="38">
        <f t="shared" si="2"/>
        <v>0.6968823509917802</v>
      </c>
      <c r="AC13" s="38">
        <f t="shared" si="2"/>
        <v>0.7456641155612048</v>
      </c>
      <c r="AD13" s="38">
        <f t="shared" si="2"/>
        <v>0.7978606036504892</v>
      </c>
      <c r="AE13" s="38">
        <f t="shared" si="2"/>
        <v>0.8537108459060234</v>
      </c>
    </row>
    <row r="14" spans="12:31" ht="12.75"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12.75">
      <c r="A15" t="s">
        <v>217</v>
      </c>
      <c r="B15" s="37">
        <f>MAX(B12:B13)</f>
        <v>0.12</v>
      </c>
      <c r="C15" s="37">
        <f aca="true" t="shared" si="3" ref="C15:AE15">MAX(C12:C13)</f>
        <v>0.12840000000000001</v>
      </c>
      <c r="D15" s="37">
        <f t="shared" si="3"/>
        <v>0.137388</v>
      </c>
      <c r="E15" s="37">
        <f t="shared" si="3"/>
        <v>0.14700516000000002</v>
      </c>
      <c r="F15" s="37">
        <f t="shared" si="3"/>
        <v>0.15729552120000004</v>
      </c>
      <c r="G15" s="37">
        <f t="shared" si="3"/>
        <v>0.16830620768400006</v>
      </c>
      <c r="H15" s="37">
        <f t="shared" si="3"/>
        <v>0.1800876422218801</v>
      </c>
      <c r="I15" s="37">
        <f t="shared" si="3"/>
        <v>0.1926937771774117</v>
      </c>
      <c r="J15" s="37">
        <f t="shared" si="3"/>
        <v>0.20618234157983054</v>
      </c>
      <c r="K15" s="37">
        <f t="shared" si="3"/>
        <v>0.22061510549041868</v>
      </c>
      <c r="L15" s="37">
        <f t="shared" si="3"/>
        <v>0.236058162874748</v>
      </c>
      <c r="M15" s="37">
        <f t="shared" si="3"/>
        <v>0.25258223427598037</v>
      </c>
      <c r="N15" s="37">
        <f t="shared" si="3"/>
        <v>0.270262990675299</v>
      </c>
      <c r="O15" s="37">
        <f t="shared" si="3"/>
        <v>0.28918140002257</v>
      </c>
      <c r="P15" s="37">
        <f t="shared" si="3"/>
        <v>0.3094240980241499</v>
      </c>
      <c r="Q15" s="37">
        <f t="shared" si="3"/>
        <v>0.3310837848858404</v>
      </c>
      <c r="R15" s="37">
        <f t="shared" si="3"/>
        <v>0.35425964982784924</v>
      </c>
      <c r="S15" s="37">
        <f t="shared" si="3"/>
        <v>0.37905782531579874</v>
      </c>
      <c r="T15" s="37">
        <f t="shared" si="3"/>
        <v>0.4055918730879047</v>
      </c>
      <c r="U15" s="37">
        <f t="shared" si="3"/>
        <v>0.433983304204058</v>
      </c>
      <c r="V15" s="37">
        <f t="shared" si="3"/>
        <v>0.4643621354983421</v>
      </c>
      <c r="W15" s="37">
        <f t="shared" si="3"/>
        <v>0.4968674849832261</v>
      </c>
      <c r="X15" s="37">
        <f t="shared" si="3"/>
        <v>0.5316482089320519</v>
      </c>
      <c r="Y15" s="37">
        <f t="shared" si="3"/>
        <v>0.5688635835572956</v>
      </c>
      <c r="Z15" s="37">
        <f t="shared" si="3"/>
        <v>0.6086840344063064</v>
      </c>
      <c r="AA15" s="37">
        <f t="shared" si="3"/>
        <v>0.6512919168147479</v>
      </c>
      <c r="AB15" s="37">
        <f t="shared" si="3"/>
        <v>0.6968823509917802</v>
      </c>
      <c r="AC15" s="37">
        <f t="shared" si="3"/>
        <v>0.7456641155612048</v>
      </c>
      <c r="AD15" s="37">
        <f t="shared" si="3"/>
        <v>0.7978606036504892</v>
      </c>
      <c r="AE15" s="37">
        <f t="shared" si="3"/>
        <v>0.8537108459060234</v>
      </c>
    </row>
    <row r="16" spans="2:31" ht="12.7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t="12.75">
      <c r="A17" s="13" t="s">
        <v>320</v>
      </c>
    </row>
    <row r="19" spans="1:2" ht="12.75">
      <c r="A19" t="s">
        <v>209</v>
      </c>
      <c r="B19" s="36">
        <f>+Main!C36</f>
        <v>0</v>
      </c>
    </row>
    <row r="20" spans="1:2" ht="12.75">
      <c r="A20" t="s">
        <v>322</v>
      </c>
      <c r="B20" s="36">
        <f>+Main!C37</f>
        <v>0</v>
      </c>
    </row>
    <row r="22" spans="1:2" ht="12.75">
      <c r="A22" t="s">
        <v>314</v>
      </c>
      <c r="B22">
        <f>+Main!C40</f>
        <v>0.07</v>
      </c>
    </row>
    <row r="24" spans="1:31" ht="12.75">
      <c r="A24" t="s">
        <v>315</v>
      </c>
      <c r="B24">
        <v>1</v>
      </c>
      <c r="C24">
        <f>+B24+1</f>
        <v>2</v>
      </c>
      <c r="D24">
        <f aca="true" t="shared" si="4" ref="D24:AE24">+C24+1</f>
        <v>3</v>
      </c>
      <c r="E24">
        <f t="shared" si="4"/>
        <v>4</v>
      </c>
      <c r="F24">
        <f t="shared" si="4"/>
        <v>5</v>
      </c>
      <c r="G24">
        <f t="shared" si="4"/>
        <v>6</v>
      </c>
      <c r="H24">
        <f t="shared" si="4"/>
        <v>7</v>
      </c>
      <c r="I24">
        <f t="shared" si="4"/>
        <v>8</v>
      </c>
      <c r="J24">
        <f t="shared" si="4"/>
        <v>9</v>
      </c>
      <c r="K24">
        <f t="shared" si="4"/>
        <v>10</v>
      </c>
      <c r="L24">
        <f t="shared" si="4"/>
        <v>11</v>
      </c>
      <c r="M24">
        <f t="shared" si="4"/>
        <v>12</v>
      </c>
      <c r="N24">
        <f t="shared" si="4"/>
        <v>13</v>
      </c>
      <c r="O24">
        <f t="shared" si="4"/>
        <v>14</v>
      </c>
      <c r="P24">
        <f t="shared" si="4"/>
        <v>15</v>
      </c>
      <c r="Q24">
        <f t="shared" si="4"/>
        <v>16</v>
      </c>
      <c r="R24">
        <f t="shared" si="4"/>
        <v>17</v>
      </c>
      <c r="S24">
        <f t="shared" si="4"/>
        <v>18</v>
      </c>
      <c r="T24">
        <f t="shared" si="4"/>
        <v>19</v>
      </c>
      <c r="U24">
        <f t="shared" si="4"/>
        <v>20</v>
      </c>
      <c r="V24">
        <f t="shared" si="4"/>
        <v>21</v>
      </c>
      <c r="W24">
        <f t="shared" si="4"/>
        <v>22</v>
      </c>
      <c r="X24">
        <f t="shared" si="4"/>
        <v>23</v>
      </c>
      <c r="Y24">
        <f t="shared" si="4"/>
        <v>24</v>
      </c>
      <c r="Z24">
        <f t="shared" si="4"/>
        <v>25</v>
      </c>
      <c r="AA24">
        <f t="shared" si="4"/>
        <v>26</v>
      </c>
      <c r="AB24">
        <f t="shared" si="4"/>
        <v>27</v>
      </c>
      <c r="AC24">
        <f t="shared" si="4"/>
        <v>28</v>
      </c>
      <c r="AD24">
        <f t="shared" si="4"/>
        <v>29</v>
      </c>
      <c r="AE24">
        <f t="shared" si="4"/>
        <v>30</v>
      </c>
    </row>
    <row r="25" spans="1:31" ht="12.75">
      <c r="A25" t="s">
        <v>207</v>
      </c>
      <c r="B25" s="36">
        <f>+B19</f>
        <v>0</v>
      </c>
      <c r="C25" s="27">
        <f>+B25*(1+$B$22)</f>
        <v>0</v>
      </c>
      <c r="D25" s="27">
        <f aca="true" t="shared" si="5" ref="D25:AE25">+C25*(1+$B$22)</f>
        <v>0</v>
      </c>
      <c r="E25" s="27">
        <f t="shared" si="5"/>
        <v>0</v>
      </c>
      <c r="F25" s="27">
        <f t="shared" si="5"/>
        <v>0</v>
      </c>
      <c r="G25" s="27">
        <f t="shared" si="5"/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7">
        <f t="shared" si="5"/>
        <v>0</v>
      </c>
      <c r="O25" s="27">
        <f t="shared" si="5"/>
        <v>0</v>
      </c>
      <c r="P25" s="27">
        <f t="shared" si="5"/>
        <v>0</v>
      </c>
      <c r="Q25" s="27">
        <f t="shared" si="5"/>
        <v>0</v>
      </c>
      <c r="R25" s="27">
        <f t="shared" si="5"/>
        <v>0</v>
      </c>
      <c r="S25" s="27">
        <f t="shared" si="5"/>
        <v>0</v>
      </c>
      <c r="T25" s="27">
        <f t="shared" si="5"/>
        <v>0</v>
      </c>
      <c r="U25" s="27">
        <f t="shared" si="5"/>
        <v>0</v>
      </c>
      <c r="V25" s="27">
        <f t="shared" si="5"/>
        <v>0</v>
      </c>
      <c r="W25" s="27">
        <f t="shared" si="5"/>
        <v>0</v>
      </c>
      <c r="X25" s="27">
        <f t="shared" si="5"/>
        <v>0</v>
      </c>
      <c r="Y25" s="27">
        <f t="shared" si="5"/>
        <v>0</v>
      </c>
      <c r="Z25" s="27">
        <f t="shared" si="5"/>
        <v>0</v>
      </c>
      <c r="AA25" s="27">
        <f t="shared" si="5"/>
        <v>0</v>
      </c>
      <c r="AB25" s="27">
        <f t="shared" si="5"/>
        <v>0</v>
      </c>
      <c r="AC25" s="27">
        <f t="shared" si="5"/>
        <v>0</v>
      </c>
      <c r="AD25" s="27">
        <f t="shared" si="5"/>
        <v>0</v>
      </c>
      <c r="AE25" s="27">
        <f t="shared" si="5"/>
        <v>0</v>
      </c>
    </row>
    <row r="26" spans="1:31" ht="12.75">
      <c r="A26" t="s">
        <v>323</v>
      </c>
      <c r="B26" s="36">
        <f>+B20</f>
        <v>0</v>
      </c>
      <c r="C26" s="27">
        <f>+B26*(1+$B$22)</f>
        <v>0</v>
      </c>
      <c r="D26" s="27">
        <f aca="true" t="shared" si="6" ref="D26:AE26">+C26*(1+$B$22)</f>
        <v>0</v>
      </c>
      <c r="E26" s="27">
        <f t="shared" si="6"/>
        <v>0</v>
      </c>
      <c r="F26" s="27">
        <f t="shared" si="6"/>
        <v>0</v>
      </c>
      <c r="G26" s="27">
        <f t="shared" si="6"/>
        <v>0</v>
      </c>
      <c r="H26" s="27">
        <f t="shared" si="6"/>
        <v>0</v>
      </c>
      <c r="I26" s="27">
        <f t="shared" si="6"/>
        <v>0</v>
      </c>
      <c r="J26" s="27">
        <f t="shared" si="6"/>
        <v>0</v>
      </c>
      <c r="K26" s="27">
        <f t="shared" si="6"/>
        <v>0</v>
      </c>
      <c r="L26" s="27">
        <f t="shared" si="6"/>
        <v>0</v>
      </c>
      <c r="M26" s="27">
        <f t="shared" si="6"/>
        <v>0</v>
      </c>
      <c r="N26" s="27">
        <f t="shared" si="6"/>
        <v>0</v>
      </c>
      <c r="O26" s="27">
        <f t="shared" si="6"/>
        <v>0</v>
      </c>
      <c r="P26" s="27">
        <f t="shared" si="6"/>
        <v>0</v>
      </c>
      <c r="Q26" s="27">
        <f t="shared" si="6"/>
        <v>0</v>
      </c>
      <c r="R26" s="27">
        <f t="shared" si="6"/>
        <v>0</v>
      </c>
      <c r="S26" s="27">
        <f t="shared" si="6"/>
        <v>0</v>
      </c>
      <c r="T26" s="27">
        <f t="shared" si="6"/>
        <v>0</v>
      </c>
      <c r="U26" s="27">
        <f t="shared" si="6"/>
        <v>0</v>
      </c>
      <c r="V26" s="27">
        <f t="shared" si="6"/>
        <v>0</v>
      </c>
      <c r="W26" s="27">
        <f t="shared" si="6"/>
        <v>0</v>
      </c>
      <c r="X26" s="27">
        <f t="shared" si="6"/>
        <v>0</v>
      </c>
      <c r="Y26" s="27">
        <f t="shared" si="6"/>
        <v>0</v>
      </c>
      <c r="Z26" s="27">
        <f t="shared" si="6"/>
        <v>0</v>
      </c>
      <c r="AA26" s="27">
        <f t="shared" si="6"/>
        <v>0</v>
      </c>
      <c r="AB26" s="27">
        <f t="shared" si="6"/>
        <v>0</v>
      </c>
      <c r="AC26" s="27">
        <f t="shared" si="6"/>
        <v>0</v>
      </c>
      <c r="AD26" s="27">
        <f t="shared" si="6"/>
        <v>0</v>
      </c>
      <c r="AE26" s="27">
        <f t="shared" si="6"/>
        <v>0</v>
      </c>
    </row>
    <row r="27" spans="2:31" ht="12.75">
      <c r="B27" s="3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2.75">
      <c r="A28" t="s">
        <v>219</v>
      </c>
      <c r="B28" s="27">
        <f aca="true" t="shared" si="7" ref="B28:K28">+B25*(1-$B$8)</f>
        <v>0</v>
      </c>
      <c r="C28" s="27">
        <f t="shared" si="7"/>
        <v>0</v>
      </c>
      <c r="D28" s="27">
        <f t="shared" si="7"/>
        <v>0</v>
      </c>
      <c r="E28" s="27">
        <f t="shared" si="7"/>
        <v>0</v>
      </c>
      <c r="F28" s="27">
        <f t="shared" si="7"/>
        <v>0</v>
      </c>
      <c r="G28" s="27">
        <f t="shared" si="7"/>
        <v>0</v>
      </c>
      <c r="H28" s="27">
        <f t="shared" si="7"/>
        <v>0</v>
      </c>
      <c r="I28" s="27">
        <f t="shared" si="7"/>
        <v>0</v>
      </c>
      <c r="J28" s="27">
        <f t="shared" si="7"/>
        <v>0</v>
      </c>
      <c r="K28" s="27">
        <f t="shared" si="7"/>
        <v>0</v>
      </c>
      <c r="L28" s="36">
        <f aca="true" t="shared" si="8" ref="L28:AE28">+L25</f>
        <v>0</v>
      </c>
      <c r="M28" s="36">
        <f t="shared" si="8"/>
        <v>0</v>
      </c>
      <c r="N28" s="36">
        <f t="shared" si="8"/>
        <v>0</v>
      </c>
      <c r="O28" s="36">
        <f t="shared" si="8"/>
        <v>0</v>
      </c>
      <c r="P28" s="36">
        <f t="shared" si="8"/>
        <v>0</v>
      </c>
      <c r="Q28" s="36">
        <f t="shared" si="8"/>
        <v>0</v>
      </c>
      <c r="R28" s="36">
        <f t="shared" si="8"/>
        <v>0</v>
      </c>
      <c r="S28" s="36">
        <f t="shared" si="8"/>
        <v>0</v>
      </c>
      <c r="T28" s="36">
        <f t="shared" si="8"/>
        <v>0</v>
      </c>
      <c r="U28" s="36">
        <f t="shared" si="8"/>
        <v>0</v>
      </c>
      <c r="V28" s="36">
        <f t="shared" si="8"/>
        <v>0</v>
      </c>
      <c r="W28" s="36">
        <f t="shared" si="8"/>
        <v>0</v>
      </c>
      <c r="X28" s="36">
        <f t="shared" si="8"/>
        <v>0</v>
      </c>
      <c r="Y28" s="36">
        <f t="shared" si="8"/>
        <v>0</v>
      </c>
      <c r="Z28" s="36">
        <f t="shared" si="8"/>
        <v>0</v>
      </c>
      <c r="AA28" s="36">
        <f t="shared" si="8"/>
        <v>0</v>
      </c>
      <c r="AB28" s="36">
        <f t="shared" si="8"/>
        <v>0</v>
      </c>
      <c r="AC28" s="36">
        <f t="shared" si="8"/>
        <v>0</v>
      </c>
      <c r="AD28" s="36">
        <f t="shared" si="8"/>
        <v>0</v>
      </c>
      <c r="AE28" s="36">
        <f t="shared" si="8"/>
        <v>0</v>
      </c>
    </row>
    <row r="29" spans="1:31" ht="12.75">
      <c r="A29" t="s">
        <v>220</v>
      </c>
      <c r="B29" s="27">
        <f aca="true" t="shared" si="9" ref="B29:K29">+B26*(1-$B$8)</f>
        <v>0</v>
      </c>
      <c r="C29" s="27">
        <f t="shared" si="9"/>
        <v>0</v>
      </c>
      <c r="D29" s="27">
        <f t="shared" si="9"/>
        <v>0</v>
      </c>
      <c r="E29" s="27">
        <f t="shared" si="9"/>
        <v>0</v>
      </c>
      <c r="F29" s="27">
        <f t="shared" si="9"/>
        <v>0</v>
      </c>
      <c r="G29" s="27">
        <f t="shared" si="9"/>
        <v>0</v>
      </c>
      <c r="H29" s="27">
        <f t="shared" si="9"/>
        <v>0</v>
      </c>
      <c r="I29" s="27">
        <f t="shared" si="9"/>
        <v>0</v>
      </c>
      <c r="J29" s="27">
        <f t="shared" si="9"/>
        <v>0</v>
      </c>
      <c r="K29" s="27">
        <f t="shared" si="9"/>
        <v>0</v>
      </c>
      <c r="L29" s="36">
        <f aca="true" t="shared" si="10" ref="L29:AE29">+L26</f>
        <v>0</v>
      </c>
      <c r="M29" s="36">
        <f t="shared" si="10"/>
        <v>0</v>
      </c>
      <c r="N29" s="36">
        <f t="shared" si="10"/>
        <v>0</v>
      </c>
      <c r="O29" s="36">
        <f t="shared" si="10"/>
        <v>0</v>
      </c>
      <c r="P29" s="36">
        <f t="shared" si="10"/>
        <v>0</v>
      </c>
      <c r="Q29" s="36">
        <f t="shared" si="10"/>
        <v>0</v>
      </c>
      <c r="R29" s="36">
        <f t="shared" si="10"/>
        <v>0</v>
      </c>
      <c r="S29" s="36">
        <f t="shared" si="10"/>
        <v>0</v>
      </c>
      <c r="T29" s="36">
        <f t="shared" si="10"/>
        <v>0</v>
      </c>
      <c r="U29" s="36">
        <f t="shared" si="10"/>
        <v>0</v>
      </c>
      <c r="V29" s="36">
        <f t="shared" si="10"/>
        <v>0</v>
      </c>
      <c r="W29" s="36">
        <f t="shared" si="10"/>
        <v>0</v>
      </c>
      <c r="X29" s="36">
        <f t="shared" si="10"/>
        <v>0</v>
      </c>
      <c r="Y29" s="36">
        <f t="shared" si="10"/>
        <v>0</v>
      </c>
      <c r="Z29" s="36">
        <f t="shared" si="10"/>
        <v>0</v>
      </c>
      <c r="AA29" s="36">
        <f t="shared" si="10"/>
        <v>0</v>
      </c>
      <c r="AB29" s="36">
        <f t="shared" si="10"/>
        <v>0</v>
      </c>
      <c r="AC29" s="36">
        <f t="shared" si="10"/>
        <v>0</v>
      </c>
      <c r="AD29" s="36">
        <f t="shared" si="10"/>
        <v>0</v>
      </c>
      <c r="AE29" s="36">
        <f t="shared" si="10"/>
        <v>0</v>
      </c>
    </row>
    <row r="30" spans="2:31" ht="12.7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2:31" ht="12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2:31" ht="12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5" spans="2:31" ht="12.7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2:31" ht="12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2:31" ht="12.7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2:31" ht="12.7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31" ht="12.7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1" ht="12.75">
      <c r="A41" s="13" t="s">
        <v>326</v>
      </c>
    </row>
    <row r="42" spans="2:31" ht="12.75">
      <c r="B42" s="45">
        <f>+Main!C81</f>
        <v>6011</v>
      </c>
      <c r="C42" s="45">
        <f>+B42*(1-Main!$C$72)</f>
        <v>5980.945</v>
      </c>
      <c r="D42" s="45">
        <f>+C42*(1-Main!$C$72)</f>
        <v>5951.040274999999</v>
      </c>
      <c r="E42" s="45">
        <f>+D42*(1-Main!$C$72)</f>
        <v>5921.285073624999</v>
      </c>
      <c r="F42" s="45">
        <f>+E42*(1-Main!$C$72)</f>
        <v>5891.678648256874</v>
      </c>
      <c r="G42" s="45">
        <f>+F42*(1-Main!$C$72)</f>
        <v>5862.22025501559</v>
      </c>
      <c r="H42" s="45">
        <f>+G42*(1-Main!$C$72)</f>
        <v>5832.909153740512</v>
      </c>
      <c r="I42" s="45">
        <f>+H42*(1-Main!$C$72)</f>
        <v>5803.744607971809</v>
      </c>
      <c r="J42" s="45">
        <f>+I42*(1-Main!$C$72)</f>
        <v>5774.7258849319505</v>
      </c>
      <c r="K42" s="45">
        <f>+J42*(1-Main!$C$72)</f>
        <v>5745.8522555072905</v>
      </c>
      <c r="L42" s="45">
        <f>+K42*(1-Main!$C$72)</f>
        <v>5717.122994229754</v>
      </c>
      <c r="M42" s="45">
        <f>+L42*(1-Main!$C$72)</f>
        <v>5688.537379258605</v>
      </c>
      <c r="N42" s="45">
        <f>+M42*(1-Main!$C$72)</f>
        <v>5660.094692362312</v>
      </c>
      <c r="O42" s="45">
        <f>+N42*(1-Main!$C$72)</f>
        <v>5631.794218900501</v>
      </c>
      <c r="P42" s="45">
        <f>+O42*(1-Main!$C$72)</f>
        <v>5603.635247805998</v>
      </c>
      <c r="Q42" s="45">
        <f>+P42*(1-Main!$C$72)</f>
        <v>5575.617071566968</v>
      </c>
      <c r="R42" s="45">
        <f>+Q42*(1-Main!$C$72)</f>
        <v>5547.738986209133</v>
      </c>
      <c r="S42" s="45">
        <f>+R42*(1-Main!$C$72)</f>
        <v>5520.000291278087</v>
      </c>
      <c r="T42" s="45">
        <f>+S42*(1-Main!$C$72)</f>
        <v>5492.400289821697</v>
      </c>
      <c r="U42" s="45">
        <f>+T42*(1-Main!$C$72)</f>
        <v>5464.938288372588</v>
      </c>
      <c r="V42" s="45">
        <f>+U42*(1-Main!$C$72)</f>
        <v>5437.613596930725</v>
      </c>
      <c r="W42" s="45">
        <f>+V42*(1-Main!$C$72)</f>
        <v>5410.425528946072</v>
      </c>
      <c r="X42" s="45">
        <f>+W42*(1-Main!$C$72)</f>
        <v>5383.373401301341</v>
      </c>
      <c r="Y42" s="45">
        <f>+X42*(1-Main!$C$72)</f>
        <v>5356.4565342948345</v>
      </c>
      <c r="Z42" s="45">
        <f>+Y42*(1-Main!$C$72)</f>
        <v>5329.67425162336</v>
      </c>
      <c r="AA42" s="45">
        <f>+Z42*(1-Main!$C$72)</f>
        <v>5303.025880365243</v>
      </c>
      <c r="AB42" s="45">
        <f>+AA42*(1-Main!$C$72)</f>
        <v>5276.510750963417</v>
      </c>
      <c r="AC42" s="45">
        <f>+AB42*(1-Main!$C$72)</f>
        <v>5250.1281972086</v>
      </c>
      <c r="AD42" s="45">
        <f>+AC42*(1-Main!$C$72)</f>
        <v>5223.877556222556</v>
      </c>
      <c r="AE42" s="45">
        <f>+AD42*(1-Main!$C$72)</f>
        <v>5197.758168441444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MSB Energy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Daugherty</dc:creator>
  <cp:keywords/>
  <dc:description/>
  <cp:lastModifiedBy>Wildenberg, Amanda</cp:lastModifiedBy>
  <cp:lastPrinted>2007-01-29T17:51:42Z</cp:lastPrinted>
  <dcterms:created xsi:type="dcterms:W3CDTF">2005-11-28T16:57:59Z</dcterms:created>
  <dcterms:modified xsi:type="dcterms:W3CDTF">2012-03-22T14:51:57Z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